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630" windowWidth="17895" windowHeight="9150" activeTab="1"/>
  </bookViews>
  <sheets>
    <sheet name="Discovery-Processing-QC feature" sheetId="1" r:id="rId1"/>
    <sheet name="Data Extract File Ty" sheetId="2" r:id="rId2"/>
    <sheet name="DV-IDENTITY-0" sheetId="3" state="veryHidden" r:id="rId3"/>
  </sheets>
  <calcPr calcId="145621"/>
</workbook>
</file>

<file path=xl/calcChain.xml><?xml version="1.0" encoding="utf-8"?>
<calcChain xmlns="http://schemas.openxmlformats.org/spreadsheetml/2006/main">
  <c r="A33" i="3" l="1"/>
  <c r="B33" i="3"/>
  <c r="C33"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A32" i="3"/>
  <c r="B32" i="3"/>
  <c r="C32"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DK32" i="3"/>
  <c r="DL32" i="3"/>
  <c r="DM32" i="3"/>
  <c r="DN32" i="3"/>
  <c r="DO32" i="3"/>
  <c r="DP32" i="3"/>
  <c r="DQ32" i="3"/>
  <c r="DR32" i="3"/>
  <c r="DS32" i="3"/>
  <c r="DT32" i="3"/>
  <c r="DU32" i="3"/>
  <c r="DV32" i="3"/>
  <c r="DW32" i="3"/>
  <c r="DX32" i="3"/>
  <c r="DY32" i="3"/>
  <c r="DZ32" i="3"/>
  <c r="EA32" i="3"/>
  <c r="EB32" i="3"/>
  <c r="EC32" i="3"/>
  <c r="ED32" i="3"/>
  <c r="EE32" i="3"/>
  <c r="EF32" i="3"/>
  <c r="EG32" i="3"/>
  <c r="EH32" i="3"/>
  <c r="EI32" i="3"/>
  <c r="EJ32" i="3"/>
  <c r="EK32" i="3"/>
  <c r="EL32" i="3"/>
  <c r="EM32" i="3"/>
  <c r="EN32" i="3"/>
  <c r="EO32" i="3"/>
  <c r="EP32" i="3"/>
  <c r="EQ32" i="3"/>
  <c r="ER32" i="3"/>
  <c r="ES32" i="3"/>
  <c r="ET32" i="3"/>
  <c r="EU32" i="3"/>
  <c r="EV32" i="3"/>
  <c r="EW32" i="3"/>
  <c r="EX32" i="3"/>
  <c r="EY32" i="3"/>
  <c r="EZ32" i="3"/>
  <c r="FA32" i="3"/>
  <c r="FB32" i="3"/>
  <c r="FC32" i="3"/>
  <c r="FD32" i="3"/>
  <c r="FE32" i="3"/>
  <c r="FF32" i="3"/>
  <c r="FG32" i="3"/>
  <c r="FH32" i="3"/>
  <c r="FI32" i="3"/>
  <c r="FJ32" i="3"/>
  <c r="FK32" i="3"/>
  <c r="FL32" i="3"/>
  <c r="FM32" i="3"/>
  <c r="FN32" i="3"/>
  <c r="FO32" i="3"/>
  <c r="FP32" i="3"/>
  <c r="FQ32" i="3"/>
  <c r="FR32" i="3"/>
  <c r="FS32" i="3"/>
  <c r="FT32" i="3"/>
  <c r="FU32" i="3"/>
  <c r="FV32" i="3"/>
  <c r="FW32" i="3"/>
  <c r="FX32" i="3"/>
  <c r="FY32" i="3"/>
  <c r="FZ32" i="3"/>
  <c r="GA32" i="3"/>
  <c r="GB32" i="3"/>
  <c r="GC32" i="3"/>
  <c r="GD32" i="3"/>
  <c r="GE32" i="3"/>
  <c r="GF32" i="3"/>
  <c r="GG32" i="3"/>
  <c r="GH32" i="3"/>
  <c r="GI32" i="3"/>
  <c r="GJ32" i="3"/>
  <c r="GK32" i="3"/>
  <c r="GL32" i="3"/>
  <c r="GM32" i="3"/>
  <c r="GN32" i="3"/>
  <c r="GO32" i="3"/>
  <c r="GP32" i="3"/>
  <c r="GQ32" i="3"/>
  <c r="GR32" i="3"/>
  <c r="GS32" i="3"/>
  <c r="GT32" i="3"/>
  <c r="GU32" i="3"/>
  <c r="GV32" i="3"/>
  <c r="GW32" i="3"/>
  <c r="GX32" i="3"/>
  <c r="GY32" i="3"/>
  <c r="GZ32" i="3"/>
  <c r="HA32" i="3"/>
  <c r="HB32" i="3"/>
  <c r="HC32" i="3"/>
  <c r="HD32" i="3"/>
  <c r="HE32" i="3"/>
  <c r="HF32" i="3"/>
  <c r="HG32" i="3"/>
  <c r="HH32" i="3"/>
  <c r="HI32" i="3"/>
  <c r="HJ32" i="3"/>
  <c r="HK32" i="3"/>
  <c r="HL32" i="3"/>
  <c r="HM32" i="3"/>
  <c r="HN32" i="3"/>
  <c r="HO32" i="3"/>
  <c r="HP32" i="3"/>
  <c r="HQ32" i="3"/>
  <c r="HR32" i="3"/>
  <c r="HS32" i="3"/>
  <c r="HT32" i="3"/>
  <c r="HU32" i="3"/>
  <c r="HV32" i="3"/>
  <c r="HW32" i="3"/>
  <c r="HX32" i="3"/>
  <c r="HY32" i="3"/>
  <c r="HZ32" i="3"/>
  <c r="IA32" i="3"/>
  <c r="IB32" i="3"/>
  <c r="IC32" i="3"/>
  <c r="ID32" i="3"/>
  <c r="IE32" i="3"/>
  <c r="IF32" i="3"/>
  <c r="IG32" i="3"/>
  <c r="IH32" i="3"/>
  <c r="II32" i="3"/>
  <c r="IJ32" i="3"/>
  <c r="IK32" i="3"/>
  <c r="IL32" i="3"/>
  <c r="IM32" i="3"/>
  <c r="IN32" i="3"/>
  <c r="IO32" i="3"/>
  <c r="IP32" i="3"/>
  <c r="IQ32" i="3"/>
  <c r="IR32" i="3"/>
  <c r="IS32" i="3"/>
  <c r="IT32" i="3"/>
  <c r="IU32" i="3"/>
  <c r="IV32" i="3"/>
  <c r="A31" i="3"/>
  <c r="B31" i="3"/>
  <c r="C31"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DK31" i="3"/>
  <c r="DL31" i="3"/>
  <c r="DM31" i="3"/>
  <c r="DN31" i="3"/>
  <c r="DO31" i="3"/>
  <c r="DP31" i="3"/>
  <c r="DQ31" i="3"/>
  <c r="DR31" i="3"/>
  <c r="DS31" i="3"/>
  <c r="DT31" i="3"/>
  <c r="DU31" i="3"/>
  <c r="DV31" i="3"/>
  <c r="DW31" i="3"/>
  <c r="DX31" i="3"/>
  <c r="DY31" i="3"/>
  <c r="DZ31" i="3"/>
  <c r="EA31" i="3"/>
  <c r="EB31" i="3"/>
  <c r="EC31" i="3"/>
  <c r="ED31" i="3"/>
  <c r="EE31" i="3"/>
  <c r="EF31" i="3"/>
  <c r="EG31" i="3"/>
  <c r="EH31" i="3"/>
  <c r="EI31" i="3"/>
  <c r="EJ31" i="3"/>
  <c r="EK31" i="3"/>
  <c r="EL31" i="3"/>
  <c r="EM31" i="3"/>
  <c r="EN31" i="3"/>
  <c r="EO31" i="3"/>
  <c r="EP31" i="3"/>
  <c r="EQ31" i="3"/>
  <c r="ER31" i="3"/>
  <c r="ES31" i="3"/>
  <c r="ET31" i="3"/>
  <c r="EU31" i="3"/>
  <c r="EV31" i="3"/>
  <c r="EW31" i="3"/>
  <c r="EX31" i="3"/>
  <c r="EY31" i="3"/>
  <c r="EZ31" i="3"/>
  <c r="FA31" i="3"/>
  <c r="FB31" i="3"/>
  <c r="FC31" i="3"/>
  <c r="FD31" i="3"/>
  <c r="FE31" i="3"/>
  <c r="FF31" i="3"/>
  <c r="FG31" i="3"/>
  <c r="FH31" i="3"/>
  <c r="FI31" i="3"/>
  <c r="FJ31" i="3"/>
  <c r="FK31" i="3"/>
  <c r="FL31" i="3"/>
  <c r="FM31" i="3"/>
  <c r="FN31" i="3"/>
  <c r="FO31" i="3"/>
  <c r="FP31" i="3"/>
  <c r="FQ31" i="3"/>
  <c r="FR31" i="3"/>
  <c r="FS31" i="3"/>
  <c r="FT31" i="3"/>
  <c r="FU31" i="3"/>
  <c r="FV31" i="3"/>
  <c r="FW31" i="3"/>
  <c r="FX31" i="3"/>
  <c r="FY31" i="3"/>
  <c r="FZ31" i="3"/>
  <c r="GA31" i="3"/>
  <c r="GB31" i="3"/>
  <c r="GC31" i="3"/>
  <c r="GD31" i="3"/>
  <c r="GE31" i="3"/>
  <c r="GF31" i="3"/>
  <c r="GG31" i="3"/>
  <c r="GH31" i="3"/>
  <c r="GI31" i="3"/>
  <c r="GJ31" i="3"/>
  <c r="GK31" i="3"/>
  <c r="GL31" i="3"/>
  <c r="GM31" i="3"/>
  <c r="GN31" i="3"/>
  <c r="GO31" i="3"/>
  <c r="GP31" i="3"/>
  <c r="GQ31" i="3"/>
  <c r="GR31" i="3"/>
  <c r="GS31" i="3"/>
  <c r="GT31" i="3"/>
  <c r="GU31" i="3"/>
  <c r="GV31" i="3"/>
  <c r="GW31" i="3"/>
  <c r="GX31" i="3"/>
  <c r="GY31" i="3"/>
  <c r="GZ31" i="3"/>
  <c r="HA31" i="3"/>
  <c r="HB31" i="3"/>
  <c r="HC31" i="3"/>
  <c r="HD31" i="3"/>
  <c r="HE31" i="3"/>
  <c r="HF31" i="3"/>
  <c r="HG31" i="3"/>
  <c r="HH31" i="3"/>
  <c r="HI31" i="3"/>
  <c r="HJ31" i="3"/>
  <c r="HK31" i="3"/>
  <c r="HL31" i="3"/>
  <c r="HM31" i="3"/>
  <c r="HN31" i="3"/>
  <c r="HO31" i="3"/>
  <c r="HP31" i="3"/>
  <c r="HQ31" i="3"/>
  <c r="HR31" i="3"/>
  <c r="HS31" i="3"/>
  <c r="HT31" i="3"/>
  <c r="HU31" i="3"/>
  <c r="HV31" i="3"/>
  <c r="HW31" i="3"/>
  <c r="HX31" i="3"/>
  <c r="HY31" i="3"/>
  <c r="HZ31" i="3"/>
  <c r="IA31" i="3"/>
  <c r="IB31" i="3"/>
  <c r="IC31" i="3"/>
  <c r="ID31" i="3"/>
  <c r="IE31" i="3"/>
  <c r="IF31" i="3"/>
  <c r="IG31" i="3"/>
  <c r="IH31" i="3"/>
  <c r="II31" i="3"/>
  <c r="IJ31" i="3"/>
  <c r="IK31" i="3"/>
  <c r="IL31" i="3"/>
  <c r="IM31" i="3"/>
  <c r="IN31" i="3"/>
  <c r="IO31" i="3"/>
  <c r="IP31" i="3"/>
  <c r="IQ31" i="3"/>
  <c r="IR31" i="3"/>
  <c r="IS31" i="3"/>
  <c r="IT31" i="3"/>
  <c r="IU31" i="3"/>
  <c r="IV31" i="3"/>
  <c r="A30" i="3"/>
  <c r="B30"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DK30" i="3"/>
  <c r="DL30" i="3"/>
  <c r="DM30" i="3"/>
  <c r="DN30" i="3"/>
  <c r="DO30" i="3"/>
  <c r="DP30" i="3"/>
  <c r="DQ30" i="3"/>
  <c r="DR30" i="3"/>
  <c r="DS30" i="3"/>
  <c r="DT30" i="3"/>
  <c r="DU30" i="3"/>
  <c r="DV30" i="3"/>
  <c r="DW30" i="3"/>
  <c r="DX30" i="3"/>
  <c r="DY30" i="3"/>
  <c r="DZ30" i="3"/>
  <c r="EA30" i="3"/>
  <c r="EB30" i="3"/>
  <c r="EC30" i="3"/>
  <c r="ED30" i="3"/>
  <c r="EE30" i="3"/>
  <c r="EF30" i="3"/>
  <c r="EG30" i="3"/>
  <c r="EH30" i="3"/>
  <c r="EI30" i="3"/>
  <c r="EJ30" i="3"/>
  <c r="EK30" i="3"/>
  <c r="EL30" i="3"/>
  <c r="EM30" i="3"/>
  <c r="EN30" i="3"/>
  <c r="EO30" i="3"/>
  <c r="EP30" i="3"/>
  <c r="EQ30" i="3"/>
  <c r="ER30" i="3"/>
  <c r="ES30" i="3"/>
  <c r="ET30" i="3"/>
  <c r="EU30" i="3"/>
  <c r="EV30" i="3"/>
  <c r="EW30" i="3"/>
  <c r="EX30" i="3"/>
  <c r="EY30" i="3"/>
  <c r="EZ30" i="3"/>
  <c r="FA30" i="3"/>
  <c r="FB30" i="3"/>
  <c r="FC30" i="3"/>
  <c r="FD30" i="3"/>
  <c r="FE30" i="3"/>
  <c r="FF30" i="3"/>
  <c r="FG30" i="3"/>
  <c r="FH30" i="3"/>
  <c r="FI30" i="3"/>
  <c r="FJ30" i="3"/>
  <c r="FK30" i="3"/>
  <c r="FL30" i="3"/>
  <c r="FM30" i="3"/>
  <c r="FN30" i="3"/>
  <c r="FO30" i="3"/>
  <c r="FP30" i="3"/>
  <c r="FQ30" i="3"/>
  <c r="FR30" i="3"/>
  <c r="FS30" i="3"/>
  <c r="FT30" i="3"/>
  <c r="FU30" i="3"/>
  <c r="FV30" i="3"/>
  <c r="FW30" i="3"/>
  <c r="FX30" i="3"/>
  <c r="FY30" i="3"/>
  <c r="FZ30" i="3"/>
  <c r="GA30" i="3"/>
  <c r="GB30" i="3"/>
  <c r="GC30" i="3"/>
  <c r="GD30" i="3"/>
  <c r="GE30" i="3"/>
  <c r="GF30" i="3"/>
  <c r="GG30" i="3"/>
  <c r="GH30" i="3"/>
  <c r="GI30" i="3"/>
  <c r="GJ30" i="3"/>
  <c r="GK30" i="3"/>
  <c r="GL30" i="3"/>
  <c r="GM30" i="3"/>
  <c r="GN30" i="3"/>
  <c r="GO30" i="3"/>
  <c r="GP30" i="3"/>
  <c r="GQ30" i="3"/>
  <c r="GR30" i="3"/>
  <c r="GS30" i="3"/>
  <c r="GT30" i="3"/>
  <c r="GU30" i="3"/>
  <c r="GV30" i="3"/>
  <c r="GW30" i="3"/>
  <c r="GX30" i="3"/>
  <c r="GY30" i="3"/>
  <c r="GZ30" i="3"/>
  <c r="HA30" i="3"/>
  <c r="HB30" i="3"/>
  <c r="HC30" i="3"/>
  <c r="HD30" i="3"/>
  <c r="HE30" i="3"/>
  <c r="HF30" i="3"/>
  <c r="HG30" i="3"/>
  <c r="HH30" i="3"/>
  <c r="HI30" i="3"/>
  <c r="HJ30" i="3"/>
  <c r="HK30" i="3"/>
  <c r="HL30" i="3"/>
  <c r="HM30" i="3"/>
  <c r="HN30" i="3"/>
  <c r="HO30" i="3"/>
  <c r="HP30" i="3"/>
  <c r="HQ30" i="3"/>
  <c r="HR30" i="3"/>
  <c r="HS30" i="3"/>
  <c r="HT30" i="3"/>
  <c r="HU30" i="3"/>
  <c r="HV30" i="3"/>
  <c r="HW30" i="3"/>
  <c r="HX30" i="3"/>
  <c r="HY30" i="3"/>
  <c r="HZ30" i="3"/>
  <c r="IA30" i="3"/>
  <c r="IB30" i="3"/>
  <c r="IC30" i="3"/>
  <c r="ID30" i="3"/>
  <c r="IE30" i="3"/>
  <c r="IF30" i="3"/>
  <c r="IG30" i="3"/>
  <c r="IH30" i="3"/>
  <c r="II30" i="3"/>
  <c r="IJ30" i="3"/>
  <c r="IK30" i="3"/>
  <c r="IL30" i="3"/>
  <c r="IM30" i="3"/>
  <c r="IN30" i="3"/>
  <c r="IO30" i="3"/>
  <c r="IP30" i="3"/>
  <c r="IQ30" i="3"/>
  <c r="IR30" i="3"/>
  <c r="IS30" i="3"/>
  <c r="IT30" i="3"/>
  <c r="IU30" i="3"/>
  <c r="IV30" i="3"/>
  <c r="A29" i="3"/>
  <c r="B29"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DK29" i="3"/>
  <c r="DL29" i="3"/>
  <c r="DM29" i="3"/>
  <c r="DN29" i="3"/>
  <c r="DO29" i="3"/>
  <c r="DP29" i="3"/>
  <c r="DQ29" i="3"/>
  <c r="DR29" i="3"/>
  <c r="DS29" i="3"/>
  <c r="DT29" i="3"/>
  <c r="DU29" i="3"/>
  <c r="DV29" i="3"/>
  <c r="DW29" i="3"/>
  <c r="DX29" i="3"/>
  <c r="DY29" i="3"/>
  <c r="DZ29" i="3"/>
  <c r="EA29" i="3"/>
  <c r="EB29" i="3"/>
  <c r="EC29" i="3"/>
  <c r="ED29" i="3"/>
  <c r="EE29" i="3"/>
  <c r="EF29" i="3"/>
  <c r="EG29" i="3"/>
  <c r="EH29" i="3"/>
  <c r="EI29" i="3"/>
  <c r="EJ29" i="3"/>
  <c r="EK29" i="3"/>
  <c r="EL29" i="3"/>
  <c r="EM29" i="3"/>
  <c r="EN29" i="3"/>
  <c r="EO29" i="3"/>
  <c r="EP29" i="3"/>
  <c r="EQ29" i="3"/>
  <c r="ER29" i="3"/>
  <c r="ES29" i="3"/>
  <c r="ET29" i="3"/>
  <c r="EU29" i="3"/>
  <c r="EV29" i="3"/>
  <c r="EW29" i="3"/>
  <c r="EX29" i="3"/>
  <c r="EY29" i="3"/>
  <c r="EZ29" i="3"/>
  <c r="FA29" i="3"/>
  <c r="FB29" i="3"/>
  <c r="FC29" i="3"/>
  <c r="FD29" i="3"/>
  <c r="FE29" i="3"/>
  <c r="FF29" i="3"/>
  <c r="FG29" i="3"/>
  <c r="FH29" i="3"/>
  <c r="FI29" i="3"/>
  <c r="FJ29" i="3"/>
  <c r="FK29" i="3"/>
  <c r="FL29" i="3"/>
  <c r="FM29" i="3"/>
  <c r="FN29" i="3"/>
  <c r="FO29" i="3"/>
  <c r="FP29" i="3"/>
  <c r="FQ29" i="3"/>
  <c r="FR29" i="3"/>
  <c r="FS29" i="3"/>
  <c r="FT29" i="3"/>
  <c r="FU29" i="3"/>
  <c r="FV29" i="3"/>
  <c r="FW29" i="3"/>
  <c r="FX29" i="3"/>
  <c r="FY29" i="3"/>
  <c r="FZ29" i="3"/>
  <c r="GA29" i="3"/>
  <c r="GB29" i="3"/>
  <c r="GC29" i="3"/>
  <c r="GD29" i="3"/>
  <c r="GE29" i="3"/>
  <c r="GF29" i="3"/>
  <c r="GG29" i="3"/>
  <c r="GH29" i="3"/>
  <c r="GI29" i="3"/>
  <c r="GJ29" i="3"/>
  <c r="GK29" i="3"/>
  <c r="GL29" i="3"/>
  <c r="GM29" i="3"/>
  <c r="GN29" i="3"/>
  <c r="GO29" i="3"/>
  <c r="GP29" i="3"/>
  <c r="GQ29" i="3"/>
  <c r="GR29" i="3"/>
  <c r="GS29" i="3"/>
  <c r="GT29" i="3"/>
  <c r="GU29" i="3"/>
  <c r="GV29" i="3"/>
  <c r="GW29" i="3"/>
  <c r="GX29" i="3"/>
  <c r="GY29" i="3"/>
  <c r="GZ29" i="3"/>
  <c r="HA29" i="3"/>
  <c r="HB29" i="3"/>
  <c r="HC29" i="3"/>
  <c r="HD29" i="3"/>
  <c r="HE29" i="3"/>
  <c r="HF29" i="3"/>
  <c r="HG29" i="3"/>
  <c r="HH29" i="3"/>
  <c r="HI29" i="3"/>
  <c r="HJ29" i="3"/>
  <c r="HK29" i="3"/>
  <c r="HL29" i="3"/>
  <c r="HM29" i="3"/>
  <c r="HN29" i="3"/>
  <c r="HO29" i="3"/>
  <c r="HP29" i="3"/>
  <c r="HQ29" i="3"/>
  <c r="HR29" i="3"/>
  <c r="HS29" i="3"/>
  <c r="HT29" i="3"/>
  <c r="HU29" i="3"/>
  <c r="HV29" i="3"/>
  <c r="HW29" i="3"/>
  <c r="HX29" i="3"/>
  <c r="HY29" i="3"/>
  <c r="HZ29" i="3"/>
  <c r="IA29" i="3"/>
  <c r="IB29" i="3"/>
  <c r="IC29" i="3"/>
  <c r="ID29" i="3"/>
  <c r="IE29" i="3"/>
  <c r="IF29" i="3"/>
  <c r="IG29" i="3"/>
  <c r="IH29" i="3"/>
  <c r="II29" i="3"/>
  <c r="IJ29" i="3"/>
  <c r="IK29" i="3"/>
  <c r="IL29" i="3"/>
  <c r="IM29" i="3"/>
  <c r="IN29" i="3"/>
  <c r="IO29" i="3"/>
  <c r="IP29" i="3"/>
  <c r="IQ29" i="3"/>
  <c r="IR29" i="3"/>
  <c r="IS29" i="3"/>
  <c r="IT29" i="3"/>
  <c r="IU29" i="3"/>
  <c r="IV29" i="3"/>
  <c r="A28" i="3"/>
  <c r="B28"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DK28" i="3"/>
  <c r="DL28" i="3"/>
  <c r="DM28" i="3"/>
  <c r="DN28" i="3"/>
  <c r="DO28" i="3"/>
  <c r="DP28" i="3"/>
  <c r="DQ28" i="3"/>
  <c r="DR28" i="3"/>
  <c r="DS28" i="3"/>
  <c r="DT28" i="3"/>
  <c r="DU28" i="3"/>
  <c r="DV28" i="3"/>
  <c r="DW28" i="3"/>
  <c r="DX28" i="3"/>
  <c r="DY28" i="3"/>
  <c r="DZ28" i="3"/>
  <c r="EA28" i="3"/>
  <c r="EB28" i="3"/>
  <c r="EC28" i="3"/>
  <c r="ED28" i="3"/>
  <c r="EE28" i="3"/>
  <c r="EF28" i="3"/>
  <c r="EG28" i="3"/>
  <c r="EH28" i="3"/>
  <c r="EI28" i="3"/>
  <c r="EJ28" i="3"/>
  <c r="EK28" i="3"/>
  <c r="EL28" i="3"/>
  <c r="EM28" i="3"/>
  <c r="EN28" i="3"/>
  <c r="EO28" i="3"/>
  <c r="EP28" i="3"/>
  <c r="EQ28" i="3"/>
  <c r="ER28" i="3"/>
  <c r="ES28" i="3"/>
  <c r="ET28" i="3"/>
  <c r="EU28" i="3"/>
  <c r="EV28" i="3"/>
  <c r="EW28" i="3"/>
  <c r="EX28" i="3"/>
  <c r="EY28" i="3"/>
  <c r="EZ28" i="3"/>
  <c r="FA28" i="3"/>
  <c r="FB28" i="3"/>
  <c r="FC28" i="3"/>
  <c r="FD28" i="3"/>
  <c r="FE28" i="3"/>
  <c r="FF28" i="3"/>
  <c r="FG28" i="3"/>
  <c r="FH28" i="3"/>
  <c r="FI28" i="3"/>
  <c r="FJ28" i="3"/>
  <c r="FK28" i="3"/>
  <c r="FL28" i="3"/>
  <c r="FM28" i="3"/>
  <c r="FN28" i="3"/>
  <c r="FO28" i="3"/>
  <c r="FP28" i="3"/>
  <c r="FQ28" i="3"/>
  <c r="FR28" i="3"/>
  <c r="FS28" i="3"/>
  <c r="FT28" i="3"/>
  <c r="FU28" i="3"/>
  <c r="FV28" i="3"/>
  <c r="FW28" i="3"/>
  <c r="FX28" i="3"/>
  <c r="FY28" i="3"/>
  <c r="FZ28" i="3"/>
  <c r="GA28" i="3"/>
  <c r="GB28" i="3"/>
  <c r="GC28" i="3"/>
  <c r="GD28" i="3"/>
  <c r="GE28" i="3"/>
  <c r="GF28" i="3"/>
  <c r="GG28" i="3"/>
  <c r="GH28" i="3"/>
  <c r="GI28" i="3"/>
  <c r="GJ28" i="3"/>
  <c r="GK28" i="3"/>
  <c r="GL28" i="3"/>
  <c r="GM28" i="3"/>
  <c r="GN28" i="3"/>
  <c r="GO28" i="3"/>
  <c r="GP28" i="3"/>
  <c r="GQ28" i="3"/>
  <c r="GR28" i="3"/>
  <c r="GS28" i="3"/>
  <c r="GT28" i="3"/>
  <c r="GU28" i="3"/>
  <c r="GV28" i="3"/>
  <c r="GW28" i="3"/>
  <c r="GX28" i="3"/>
  <c r="GY28" i="3"/>
  <c r="GZ28" i="3"/>
  <c r="HA28" i="3"/>
  <c r="HB28" i="3"/>
  <c r="HC28" i="3"/>
  <c r="HD28" i="3"/>
  <c r="HE28" i="3"/>
  <c r="HF28" i="3"/>
  <c r="HG28" i="3"/>
  <c r="HH28" i="3"/>
  <c r="HI28" i="3"/>
  <c r="HJ28" i="3"/>
  <c r="HK28" i="3"/>
  <c r="HL28" i="3"/>
  <c r="HM28" i="3"/>
  <c r="HN28" i="3"/>
  <c r="HO28" i="3"/>
  <c r="HP28" i="3"/>
  <c r="HQ28" i="3"/>
  <c r="HR28" i="3"/>
  <c r="HS28" i="3"/>
  <c r="HT28" i="3"/>
  <c r="HU28" i="3"/>
  <c r="HV28" i="3"/>
  <c r="HW28" i="3"/>
  <c r="HX28" i="3"/>
  <c r="HY28" i="3"/>
  <c r="HZ28" i="3"/>
  <c r="IA28" i="3"/>
  <c r="IB28" i="3"/>
  <c r="IC28" i="3"/>
  <c r="ID28" i="3"/>
  <c r="IE28" i="3"/>
  <c r="IF28" i="3"/>
  <c r="IG28" i="3"/>
  <c r="IH28" i="3"/>
  <c r="II28" i="3"/>
  <c r="IJ28" i="3"/>
  <c r="IK28" i="3"/>
  <c r="IL28" i="3"/>
  <c r="IM28" i="3"/>
  <c r="IN28" i="3"/>
  <c r="IO28" i="3"/>
  <c r="IP28" i="3"/>
  <c r="IQ28" i="3"/>
  <c r="IR28" i="3"/>
  <c r="IS28" i="3"/>
  <c r="IT28" i="3"/>
  <c r="IU28" i="3"/>
  <c r="IV28" i="3"/>
  <c r="A27" i="3"/>
  <c r="B27"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DK27" i="3"/>
  <c r="DL27" i="3"/>
  <c r="DM27" i="3"/>
  <c r="DN27" i="3"/>
  <c r="DO27" i="3"/>
  <c r="DP27" i="3"/>
  <c r="DQ27" i="3"/>
  <c r="DR27" i="3"/>
  <c r="DS27" i="3"/>
  <c r="DT27" i="3"/>
  <c r="DU27" i="3"/>
  <c r="DV27" i="3"/>
  <c r="DW27" i="3"/>
  <c r="DX27" i="3"/>
  <c r="DY27" i="3"/>
  <c r="DZ27" i="3"/>
  <c r="EA27" i="3"/>
  <c r="EB27" i="3"/>
  <c r="EC27" i="3"/>
  <c r="ED27" i="3"/>
  <c r="EE27" i="3"/>
  <c r="EF27" i="3"/>
  <c r="EG27" i="3"/>
  <c r="EH27" i="3"/>
  <c r="EI27" i="3"/>
  <c r="EJ27" i="3"/>
  <c r="EK27" i="3"/>
  <c r="EL27" i="3"/>
  <c r="EM27" i="3"/>
  <c r="EN27" i="3"/>
  <c r="EO27" i="3"/>
  <c r="EP27" i="3"/>
  <c r="EQ27" i="3"/>
  <c r="ER27" i="3"/>
  <c r="ES27" i="3"/>
  <c r="ET27" i="3"/>
  <c r="EU27" i="3"/>
  <c r="EV27" i="3"/>
  <c r="EW27" i="3"/>
  <c r="EX27" i="3"/>
  <c r="EY27" i="3"/>
  <c r="EZ27" i="3"/>
  <c r="FA27" i="3"/>
  <c r="FB27" i="3"/>
  <c r="FC27" i="3"/>
  <c r="FD27" i="3"/>
  <c r="FE27" i="3"/>
  <c r="FF27" i="3"/>
  <c r="FG27" i="3"/>
  <c r="FH27" i="3"/>
  <c r="FI27" i="3"/>
  <c r="FJ27" i="3"/>
  <c r="FK27" i="3"/>
  <c r="FL27" i="3"/>
  <c r="FM27" i="3"/>
  <c r="FN27" i="3"/>
  <c r="FO27" i="3"/>
  <c r="FP27" i="3"/>
  <c r="FQ27" i="3"/>
  <c r="FR27" i="3"/>
  <c r="FS27" i="3"/>
  <c r="FT27" i="3"/>
  <c r="FU27" i="3"/>
  <c r="FV27" i="3"/>
  <c r="FW27" i="3"/>
  <c r="FX27" i="3"/>
  <c r="FY27" i="3"/>
  <c r="FZ27" i="3"/>
  <c r="GA27" i="3"/>
  <c r="GB27" i="3"/>
  <c r="GC27" i="3"/>
  <c r="GD27" i="3"/>
  <c r="GE27" i="3"/>
  <c r="GF27" i="3"/>
  <c r="GG27" i="3"/>
  <c r="GH27" i="3"/>
  <c r="GI27" i="3"/>
  <c r="GJ27" i="3"/>
  <c r="GK27" i="3"/>
  <c r="GL27" i="3"/>
  <c r="GM27" i="3"/>
  <c r="GN27" i="3"/>
  <c r="GO27" i="3"/>
  <c r="GP27" i="3"/>
  <c r="GQ27" i="3"/>
  <c r="GR27" i="3"/>
  <c r="GS27" i="3"/>
  <c r="GT27" i="3"/>
  <c r="GU27" i="3"/>
  <c r="GV27" i="3"/>
  <c r="GW27" i="3"/>
  <c r="GX27" i="3"/>
  <c r="GY27" i="3"/>
  <c r="GZ27" i="3"/>
  <c r="HA27" i="3"/>
  <c r="HB27" i="3"/>
  <c r="HC27" i="3"/>
  <c r="HD27" i="3"/>
  <c r="HE27" i="3"/>
  <c r="HF27" i="3"/>
  <c r="HG27" i="3"/>
  <c r="HH27" i="3"/>
  <c r="HI27" i="3"/>
  <c r="HJ27" i="3"/>
  <c r="HK27" i="3"/>
  <c r="HL27" i="3"/>
  <c r="HM27" i="3"/>
  <c r="HN27" i="3"/>
  <c r="HO27" i="3"/>
  <c r="HP27" i="3"/>
  <c r="HQ27" i="3"/>
  <c r="HR27" i="3"/>
  <c r="HS27" i="3"/>
  <c r="HT27" i="3"/>
  <c r="HU27" i="3"/>
  <c r="HV27" i="3"/>
  <c r="HW27" i="3"/>
  <c r="HX27" i="3"/>
  <c r="HY27" i="3"/>
  <c r="HZ27" i="3"/>
  <c r="IA27" i="3"/>
  <c r="IB27" i="3"/>
  <c r="IC27" i="3"/>
  <c r="ID27" i="3"/>
  <c r="IE27" i="3"/>
  <c r="IF27" i="3"/>
  <c r="IG27" i="3"/>
  <c r="IH27" i="3"/>
  <c r="II27" i="3"/>
  <c r="IJ27" i="3"/>
  <c r="IK27" i="3"/>
  <c r="IL27" i="3"/>
  <c r="IM27" i="3"/>
  <c r="IN27" i="3"/>
  <c r="IO27" i="3"/>
  <c r="IP27" i="3"/>
  <c r="IQ27" i="3"/>
  <c r="IR27" i="3"/>
  <c r="IS27" i="3"/>
  <c r="IT27" i="3"/>
  <c r="IU27" i="3"/>
  <c r="IV27" i="3"/>
  <c r="A26" i="3"/>
  <c r="B26"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DK26" i="3"/>
  <c r="DL26" i="3"/>
  <c r="DM26" i="3"/>
  <c r="DN26" i="3"/>
  <c r="DO26" i="3"/>
  <c r="DP26" i="3"/>
  <c r="DQ26" i="3"/>
  <c r="DR26" i="3"/>
  <c r="DS26" i="3"/>
  <c r="DT26" i="3"/>
  <c r="DU26" i="3"/>
  <c r="DV26" i="3"/>
  <c r="DW26" i="3"/>
  <c r="DX26" i="3"/>
  <c r="DY26" i="3"/>
  <c r="DZ26" i="3"/>
  <c r="EA26" i="3"/>
  <c r="EB26" i="3"/>
  <c r="EC26" i="3"/>
  <c r="ED26" i="3"/>
  <c r="EE26" i="3"/>
  <c r="EF26" i="3"/>
  <c r="EG26" i="3"/>
  <c r="EH26" i="3"/>
  <c r="EI26" i="3"/>
  <c r="EJ26" i="3"/>
  <c r="EK26" i="3"/>
  <c r="EL26" i="3"/>
  <c r="EM26" i="3"/>
  <c r="EN26" i="3"/>
  <c r="EO26" i="3"/>
  <c r="EP26" i="3"/>
  <c r="EQ26" i="3"/>
  <c r="ER26" i="3"/>
  <c r="ES26" i="3"/>
  <c r="ET26" i="3"/>
  <c r="EU26" i="3"/>
  <c r="EV26" i="3"/>
  <c r="EW26" i="3"/>
  <c r="EX26" i="3"/>
  <c r="EY26" i="3"/>
  <c r="EZ26" i="3"/>
  <c r="FA26" i="3"/>
  <c r="FB26" i="3"/>
  <c r="FC26" i="3"/>
  <c r="FD26" i="3"/>
  <c r="FE26" i="3"/>
  <c r="FF26" i="3"/>
  <c r="FG26" i="3"/>
  <c r="FH26" i="3"/>
  <c r="FI26" i="3"/>
  <c r="FJ26" i="3"/>
  <c r="FK26" i="3"/>
  <c r="FL26" i="3"/>
  <c r="FM26" i="3"/>
  <c r="FN26" i="3"/>
  <c r="FO26" i="3"/>
  <c r="FP26" i="3"/>
  <c r="FQ26" i="3"/>
  <c r="FR26" i="3"/>
  <c r="FS26" i="3"/>
  <c r="FT26" i="3"/>
  <c r="FU26" i="3"/>
  <c r="FV26" i="3"/>
  <c r="FW26" i="3"/>
  <c r="FX26" i="3"/>
  <c r="FY26" i="3"/>
  <c r="FZ26" i="3"/>
  <c r="GA26" i="3"/>
  <c r="GB26" i="3"/>
  <c r="GC26" i="3"/>
  <c r="GD26" i="3"/>
  <c r="GE26" i="3"/>
  <c r="GF26" i="3"/>
  <c r="GG26" i="3"/>
  <c r="GH26" i="3"/>
  <c r="GI26" i="3"/>
  <c r="GJ26" i="3"/>
  <c r="GK26" i="3"/>
  <c r="GL26" i="3"/>
  <c r="GM26" i="3"/>
  <c r="GN26" i="3"/>
  <c r="GO26" i="3"/>
  <c r="GP26" i="3"/>
  <c r="GQ26" i="3"/>
  <c r="GR26" i="3"/>
  <c r="GS26" i="3"/>
  <c r="GT26" i="3"/>
  <c r="GU26" i="3"/>
  <c r="GV26" i="3"/>
  <c r="GW26" i="3"/>
  <c r="GX26" i="3"/>
  <c r="GY26" i="3"/>
  <c r="GZ26" i="3"/>
  <c r="HA26" i="3"/>
  <c r="HB26" i="3"/>
  <c r="HC26" i="3"/>
  <c r="HD26" i="3"/>
  <c r="HE26" i="3"/>
  <c r="HF26" i="3"/>
  <c r="HG26" i="3"/>
  <c r="HH26" i="3"/>
  <c r="HI26" i="3"/>
  <c r="HJ26" i="3"/>
  <c r="HK26" i="3"/>
  <c r="HL26" i="3"/>
  <c r="HM26" i="3"/>
  <c r="HN26" i="3"/>
  <c r="HO26" i="3"/>
  <c r="HP26" i="3"/>
  <c r="HQ26" i="3"/>
  <c r="HR26" i="3"/>
  <c r="HS26" i="3"/>
  <c r="HT26" i="3"/>
  <c r="HU26" i="3"/>
  <c r="HV26" i="3"/>
  <c r="HW26" i="3"/>
  <c r="HX26" i="3"/>
  <c r="HY26" i="3"/>
  <c r="HZ26" i="3"/>
  <c r="IA26" i="3"/>
  <c r="IB26" i="3"/>
  <c r="IC26" i="3"/>
  <c r="ID26" i="3"/>
  <c r="IE26" i="3"/>
  <c r="IF26" i="3"/>
  <c r="IG26" i="3"/>
  <c r="IH26" i="3"/>
  <c r="II26" i="3"/>
  <c r="IJ26" i="3"/>
  <c r="IK26" i="3"/>
  <c r="IL26" i="3"/>
  <c r="IM26" i="3"/>
  <c r="IN26" i="3"/>
  <c r="IO26" i="3"/>
  <c r="IP26" i="3"/>
  <c r="IQ26" i="3"/>
  <c r="IR26" i="3"/>
  <c r="IS26" i="3"/>
  <c r="IT26" i="3"/>
  <c r="IU26" i="3"/>
  <c r="IV26" i="3"/>
  <c r="A25" i="3"/>
  <c r="B25"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DK25" i="3"/>
  <c r="DL25" i="3"/>
  <c r="DM25" i="3"/>
  <c r="DN25" i="3"/>
  <c r="DO25" i="3"/>
  <c r="DP25" i="3"/>
  <c r="DQ25" i="3"/>
  <c r="DR25" i="3"/>
  <c r="DS25" i="3"/>
  <c r="DT25" i="3"/>
  <c r="DU25" i="3"/>
  <c r="DV25" i="3"/>
  <c r="DW25" i="3"/>
  <c r="DX25" i="3"/>
  <c r="DY25" i="3"/>
  <c r="DZ25" i="3"/>
  <c r="EA25" i="3"/>
  <c r="EB25" i="3"/>
  <c r="EC25" i="3"/>
  <c r="ED25" i="3"/>
  <c r="EE25" i="3"/>
  <c r="EF25" i="3"/>
  <c r="EG25" i="3"/>
  <c r="EH25" i="3"/>
  <c r="EI25" i="3"/>
  <c r="EJ25" i="3"/>
  <c r="EK25" i="3"/>
  <c r="EL25" i="3"/>
  <c r="EM25" i="3"/>
  <c r="EN25" i="3"/>
  <c r="EO25" i="3"/>
  <c r="EP25" i="3"/>
  <c r="EQ25" i="3"/>
  <c r="ER25" i="3"/>
  <c r="ES25" i="3"/>
  <c r="ET25" i="3"/>
  <c r="EU25" i="3"/>
  <c r="EV25" i="3"/>
  <c r="EW25" i="3"/>
  <c r="EX25" i="3"/>
  <c r="EY25" i="3"/>
  <c r="EZ25" i="3"/>
  <c r="FA25" i="3"/>
  <c r="FB25" i="3"/>
  <c r="FC25" i="3"/>
  <c r="FD25" i="3"/>
  <c r="FE25" i="3"/>
  <c r="FF25" i="3"/>
  <c r="FG25" i="3"/>
  <c r="FH25" i="3"/>
  <c r="FI25" i="3"/>
  <c r="FJ25" i="3"/>
  <c r="FK25" i="3"/>
  <c r="FL25" i="3"/>
  <c r="FM25" i="3"/>
  <c r="FN25" i="3"/>
  <c r="FO25" i="3"/>
  <c r="FP25" i="3"/>
  <c r="FQ25" i="3"/>
  <c r="FR25" i="3"/>
  <c r="FS25" i="3"/>
  <c r="FT25" i="3"/>
  <c r="FU25" i="3"/>
  <c r="FV25" i="3"/>
  <c r="FW25" i="3"/>
  <c r="FX25" i="3"/>
  <c r="FY25" i="3"/>
  <c r="FZ25" i="3"/>
  <c r="GA25" i="3"/>
  <c r="GB25" i="3"/>
  <c r="GC25" i="3"/>
  <c r="GD25" i="3"/>
  <c r="GE25" i="3"/>
  <c r="GF25" i="3"/>
  <c r="GG25" i="3"/>
  <c r="GH25" i="3"/>
  <c r="GI25" i="3"/>
  <c r="GJ25" i="3"/>
  <c r="GK25" i="3"/>
  <c r="GL25" i="3"/>
  <c r="GM25" i="3"/>
  <c r="GN25" i="3"/>
  <c r="GO25" i="3"/>
  <c r="GP25" i="3"/>
  <c r="GQ25" i="3"/>
  <c r="GR25" i="3"/>
  <c r="GS25" i="3"/>
  <c r="GT25" i="3"/>
  <c r="GU25" i="3"/>
  <c r="GV25" i="3"/>
  <c r="GW25" i="3"/>
  <c r="GX25" i="3"/>
  <c r="GY25" i="3"/>
  <c r="GZ25" i="3"/>
  <c r="HA25" i="3"/>
  <c r="HB25" i="3"/>
  <c r="HC25" i="3"/>
  <c r="HD25" i="3"/>
  <c r="HE25" i="3"/>
  <c r="HF25" i="3"/>
  <c r="HG25" i="3"/>
  <c r="HH25" i="3"/>
  <c r="HI25" i="3"/>
  <c r="HJ25" i="3"/>
  <c r="HK25" i="3"/>
  <c r="HL25" i="3"/>
  <c r="HM25" i="3"/>
  <c r="HN25" i="3"/>
  <c r="HO25" i="3"/>
  <c r="HP25" i="3"/>
  <c r="HQ25" i="3"/>
  <c r="HR25" i="3"/>
  <c r="HS25" i="3"/>
  <c r="HT25" i="3"/>
  <c r="HU25" i="3"/>
  <c r="HV25" i="3"/>
  <c r="HW25" i="3"/>
  <c r="HX25" i="3"/>
  <c r="HY25" i="3"/>
  <c r="HZ25" i="3"/>
  <c r="IA25" i="3"/>
  <c r="IB25" i="3"/>
  <c r="IC25" i="3"/>
  <c r="ID25" i="3"/>
  <c r="IE25" i="3"/>
  <c r="IF25" i="3"/>
  <c r="IG25" i="3"/>
  <c r="IH25" i="3"/>
  <c r="II25" i="3"/>
  <c r="IJ25" i="3"/>
  <c r="IK25" i="3"/>
  <c r="IL25" i="3"/>
  <c r="IM25" i="3"/>
  <c r="IN25" i="3"/>
  <c r="IO25" i="3"/>
  <c r="IP25" i="3"/>
  <c r="IQ25" i="3"/>
  <c r="IR25" i="3"/>
  <c r="IS25" i="3"/>
  <c r="IT25" i="3"/>
  <c r="IU25" i="3"/>
  <c r="IV25" i="3"/>
  <c r="A24" i="3"/>
  <c r="B24"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EE24" i="3"/>
  <c r="EF24" i="3"/>
  <c r="EG24" i="3"/>
  <c r="EH24" i="3"/>
  <c r="EI24" i="3"/>
  <c r="EJ24" i="3"/>
  <c r="EK24" i="3"/>
  <c r="EL24" i="3"/>
  <c r="EM24" i="3"/>
  <c r="EN24" i="3"/>
  <c r="EO24" i="3"/>
  <c r="EP24" i="3"/>
  <c r="EQ24" i="3"/>
  <c r="ER24" i="3"/>
  <c r="ES24" i="3"/>
  <c r="ET24" i="3"/>
  <c r="EU24" i="3"/>
  <c r="EV24" i="3"/>
  <c r="EW24" i="3"/>
  <c r="EX24" i="3"/>
  <c r="EY24" i="3"/>
  <c r="EZ24" i="3"/>
  <c r="FA24" i="3"/>
  <c r="FB24" i="3"/>
  <c r="FC24" i="3"/>
  <c r="FD24" i="3"/>
  <c r="FE24" i="3"/>
  <c r="FF24" i="3"/>
  <c r="FG24" i="3"/>
  <c r="FH24" i="3"/>
  <c r="FI24" i="3"/>
  <c r="FJ24" i="3"/>
  <c r="FK24" i="3"/>
  <c r="FL24" i="3"/>
  <c r="FM24" i="3"/>
  <c r="FN24" i="3"/>
  <c r="FO24" i="3"/>
  <c r="FP24" i="3"/>
  <c r="FQ24" i="3"/>
  <c r="FR24" i="3"/>
  <c r="FS24" i="3"/>
  <c r="FT24" i="3"/>
  <c r="FU24" i="3"/>
  <c r="FV24" i="3"/>
  <c r="FW24" i="3"/>
  <c r="FX24" i="3"/>
  <c r="FY24" i="3"/>
  <c r="FZ24" i="3"/>
  <c r="GA24" i="3"/>
  <c r="GB24" i="3"/>
  <c r="GC24" i="3"/>
  <c r="GD24" i="3"/>
  <c r="GE24" i="3"/>
  <c r="GF24" i="3"/>
  <c r="GG24" i="3"/>
  <c r="GH24" i="3"/>
  <c r="GI24" i="3"/>
  <c r="GJ24" i="3"/>
  <c r="GK24" i="3"/>
  <c r="GL24" i="3"/>
  <c r="GM24" i="3"/>
  <c r="GN24" i="3"/>
  <c r="GO24" i="3"/>
  <c r="GP24" i="3"/>
  <c r="GQ24" i="3"/>
  <c r="GR24" i="3"/>
  <c r="GS24" i="3"/>
  <c r="GT24" i="3"/>
  <c r="GU24" i="3"/>
  <c r="GV24" i="3"/>
  <c r="GW24" i="3"/>
  <c r="GX24" i="3"/>
  <c r="GY24" i="3"/>
  <c r="GZ24" i="3"/>
  <c r="HA24" i="3"/>
  <c r="HB24" i="3"/>
  <c r="HC24" i="3"/>
  <c r="HD24" i="3"/>
  <c r="HE24" i="3"/>
  <c r="HF24" i="3"/>
  <c r="HG24" i="3"/>
  <c r="HH24" i="3"/>
  <c r="HI24" i="3"/>
  <c r="HJ24" i="3"/>
  <c r="HK24" i="3"/>
  <c r="HL24" i="3"/>
  <c r="HM24" i="3"/>
  <c r="HN24" i="3"/>
  <c r="HO24" i="3"/>
  <c r="HP24" i="3"/>
  <c r="HQ24" i="3"/>
  <c r="HR24" i="3"/>
  <c r="HS24" i="3"/>
  <c r="HT24" i="3"/>
  <c r="HU24" i="3"/>
  <c r="HV24" i="3"/>
  <c r="HW24" i="3"/>
  <c r="HX24" i="3"/>
  <c r="HY24" i="3"/>
  <c r="HZ24" i="3"/>
  <c r="IA24" i="3"/>
  <c r="IB24" i="3"/>
  <c r="IC24" i="3"/>
  <c r="ID24" i="3"/>
  <c r="IE24" i="3"/>
  <c r="IF24" i="3"/>
  <c r="IG24" i="3"/>
  <c r="IH24" i="3"/>
  <c r="II24" i="3"/>
  <c r="IJ24" i="3"/>
  <c r="IK24" i="3"/>
  <c r="IL24" i="3"/>
  <c r="IM24" i="3"/>
  <c r="IN24" i="3"/>
  <c r="IO24" i="3"/>
  <c r="IP24" i="3"/>
  <c r="IQ24" i="3"/>
  <c r="IR24" i="3"/>
  <c r="IS24" i="3"/>
  <c r="IT24" i="3"/>
  <c r="IU24" i="3"/>
  <c r="IV24" i="3"/>
  <c r="A23" i="3"/>
  <c r="B23"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EE23" i="3"/>
  <c r="EF23" i="3"/>
  <c r="EG23" i="3"/>
  <c r="EH23" i="3"/>
  <c r="EI23" i="3"/>
  <c r="EJ23" i="3"/>
  <c r="EK23" i="3"/>
  <c r="EL23" i="3"/>
  <c r="EM23" i="3"/>
  <c r="EN23" i="3"/>
  <c r="EO23" i="3"/>
  <c r="EP23" i="3"/>
  <c r="EQ23" i="3"/>
  <c r="ER23" i="3"/>
  <c r="ES23" i="3"/>
  <c r="ET23" i="3"/>
  <c r="EU23" i="3"/>
  <c r="EV23" i="3"/>
  <c r="EW23" i="3"/>
  <c r="EX23" i="3"/>
  <c r="EY23" i="3"/>
  <c r="EZ23" i="3"/>
  <c r="FA23" i="3"/>
  <c r="FB23" i="3"/>
  <c r="FC23" i="3"/>
  <c r="FD23" i="3"/>
  <c r="FE23" i="3"/>
  <c r="FF23" i="3"/>
  <c r="FG23" i="3"/>
  <c r="FH23" i="3"/>
  <c r="FI23" i="3"/>
  <c r="FJ23" i="3"/>
  <c r="FK23" i="3"/>
  <c r="FL23" i="3"/>
  <c r="FM23" i="3"/>
  <c r="FN23" i="3"/>
  <c r="FO23" i="3"/>
  <c r="FP23" i="3"/>
  <c r="FQ23" i="3"/>
  <c r="FR23" i="3"/>
  <c r="FS23" i="3"/>
  <c r="FT23" i="3"/>
  <c r="FU23" i="3"/>
  <c r="FV23" i="3"/>
  <c r="FW23" i="3"/>
  <c r="FX23" i="3"/>
  <c r="FY23" i="3"/>
  <c r="FZ23" i="3"/>
  <c r="GA23" i="3"/>
  <c r="GB23" i="3"/>
  <c r="GC23" i="3"/>
  <c r="GD23" i="3"/>
  <c r="GE23" i="3"/>
  <c r="GF23" i="3"/>
  <c r="GG23" i="3"/>
  <c r="GH23" i="3"/>
  <c r="GI23" i="3"/>
  <c r="GJ23" i="3"/>
  <c r="GK23" i="3"/>
  <c r="GL23" i="3"/>
  <c r="GM23" i="3"/>
  <c r="GN23" i="3"/>
  <c r="GO23" i="3"/>
  <c r="GP23" i="3"/>
  <c r="GQ23" i="3"/>
  <c r="GR23" i="3"/>
  <c r="GS23" i="3"/>
  <c r="GT23" i="3"/>
  <c r="GU23" i="3"/>
  <c r="GV23" i="3"/>
  <c r="GW23" i="3"/>
  <c r="GX23" i="3"/>
  <c r="GY23" i="3"/>
  <c r="GZ23" i="3"/>
  <c r="HA23" i="3"/>
  <c r="HB23" i="3"/>
  <c r="HC23" i="3"/>
  <c r="HD23" i="3"/>
  <c r="HE23" i="3"/>
  <c r="HF23" i="3"/>
  <c r="HG23" i="3"/>
  <c r="HH23" i="3"/>
  <c r="HI23" i="3"/>
  <c r="HJ23" i="3"/>
  <c r="HK23" i="3"/>
  <c r="HL23" i="3"/>
  <c r="HM23" i="3"/>
  <c r="HN23" i="3"/>
  <c r="HO23" i="3"/>
  <c r="HP23" i="3"/>
  <c r="HQ23" i="3"/>
  <c r="HR23" i="3"/>
  <c r="HS23" i="3"/>
  <c r="HT23" i="3"/>
  <c r="HU23" i="3"/>
  <c r="HV23" i="3"/>
  <c r="HW23" i="3"/>
  <c r="HX23" i="3"/>
  <c r="HY23" i="3"/>
  <c r="HZ23" i="3"/>
  <c r="IA23" i="3"/>
  <c r="IB23" i="3"/>
  <c r="IC23" i="3"/>
  <c r="ID23" i="3"/>
  <c r="IE23" i="3"/>
  <c r="IF23" i="3"/>
  <c r="IG23" i="3"/>
  <c r="IH23" i="3"/>
  <c r="II23" i="3"/>
  <c r="IJ23" i="3"/>
  <c r="IK23" i="3"/>
  <c r="IL23" i="3"/>
  <c r="IM23" i="3"/>
  <c r="IN23" i="3"/>
  <c r="IO23" i="3"/>
  <c r="IP23" i="3"/>
  <c r="IQ23" i="3"/>
  <c r="IR23" i="3"/>
  <c r="IS23" i="3"/>
  <c r="IT23" i="3"/>
  <c r="IU23" i="3"/>
  <c r="IV23" i="3"/>
  <c r="A22" i="3"/>
  <c r="B22"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EE22" i="3"/>
  <c r="EF22" i="3"/>
  <c r="EG22" i="3"/>
  <c r="EH22" i="3"/>
  <c r="EI22" i="3"/>
  <c r="EJ22" i="3"/>
  <c r="EK22" i="3"/>
  <c r="EL22" i="3"/>
  <c r="EM22" i="3"/>
  <c r="EN22" i="3"/>
  <c r="EO22" i="3"/>
  <c r="EP22" i="3"/>
  <c r="EQ22" i="3"/>
  <c r="ER22" i="3"/>
  <c r="ES22" i="3"/>
  <c r="ET22" i="3"/>
  <c r="EU22" i="3"/>
  <c r="EV22" i="3"/>
  <c r="EW22" i="3"/>
  <c r="EX22" i="3"/>
  <c r="EY22" i="3"/>
  <c r="EZ22" i="3"/>
  <c r="FA22" i="3"/>
  <c r="FB22" i="3"/>
  <c r="FC22" i="3"/>
  <c r="FD22" i="3"/>
  <c r="FE22" i="3"/>
  <c r="FF22" i="3"/>
  <c r="FG22" i="3"/>
  <c r="FH22" i="3"/>
  <c r="FI22" i="3"/>
  <c r="FJ22" i="3"/>
  <c r="FK22" i="3"/>
  <c r="FL22" i="3"/>
  <c r="FM22" i="3"/>
  <c r="FN22" i="3"/>
  <c r="FO22" i="3"/>
  <c r="FP22" i="3"/>
  <c r="FQ22" i="3"/>
  <c r="FR22" i="3"/>
  <c r="FS22" i="3"/>
  <c r="FT22" i="3"/>
  <c r="FU22" i="3"/>
  <c r="FV22" i="3"/>
  <c r="FW22" i="3"/>
  <c r="FX22" i="3"/>
  <c r="FY22" i="3"/>
  <c r="FZ22" i="3"/>
  <c r="GA22" i="3"/>
  <c r="GB22" i="3"/>
  <c r="GC22" i="3"/>
  <c r="GD22" i="3"/>
  <c r="GE22" i="3"/>
  <c r="GF22" i="3"/>
  <c r="GG22" i="3"/>
  <c r="GH22" i="3"/>
  <c r="GI22" i="3"/>
  <c r="GJ22" i="3"/>
  <c r="GK22" i="3"/>
  <c r="GL22" i="3"/>
  <c r="GM22" i="3"/>
  <c r="GN22" i="3"/>
  <c r="GO22" i="3"/>
  <c r="GP22" i="3"/>
  <c r="GQ22" i="3"/>
  <c r="GR22" i="3"/>
  <c r="GS22" i="3"/>
  <c r="GT22" i="3"/>
  <c r="GU22" i="3"/>
  <c r="GV22" i="3"/>
  <c r="GW22" i="3"/>
  <c r="GX22" i="3"/>
  <c r="GY22" i="3"/>
  <c r="GZ22" i="3"/>
  <c r="HA22" i="3"/>
  <c r="HB22" i="3"/>
  <c r="HC22" i="3"/>
  <c r="HD22" i="3"/>
  <c r="HE22" i="3"/>
  <c r="HF22" i="3"/>
  <c r="HG22" i="3"/>
  <c r="HH22" i="3"/>
  <c r="HI22" i="3"/>
  <c r="HJ22" i="3"/>
  <c r="HK22" i="3"/>
  <c r="HL22" i="3"/>
  <c r="HM22" i="3"/>
  <c r="HN22" i="3"/>
  <c r="HO22" i="3"/>
  <c r="HP22" i="3"/>
  <c r="HQ22" i="3"/>
  <c r="HR22" i="3"/>
  <c r="HS22" i="3"/>
  <c r="HT22" i="3"/>
  <c r="HU22" i="3"/>
  <c r="HV22" i="3"/>
  <c r="HW22" i="3"/>
  <c r="HX22" i="3"/>
  <c r="HY22" i="3"/>
  <c r="HZ22" i="3"/>
  <c r="IA22" i="3"/>
  <c r="IB22" i="3"/>
  <c r="IC22" i="3"/>
  <c r="ID22" i="3"/>
  <c r="IE22" i="3"/>
  <c r="IF22" i="3"/>
  <c r="IG22" i="3"/>
  <c r="IH22" i="3"/>
  <c r="II22" i="3"/>
  <c r="IJ22" i="3"/>
  <c r="IK22" i="3"/>
  <c r="IL22" i="3"/>
  <c r="IM22" i="3"/>
  <c r="IN22" i="3"/>
  <c r="IO22" i="3"/>
  <c r="IP22" i="3"/>
  <c r="IQ22" i="3"/>
  <c r="IR22" i="3"/>
  <c r="IS22" i="3"/>
  <c r="IT22" i="3"/>
  <c r="IU22" i="3"/>
  <c r="IV22" i="3"/>
  <c r="A21" i="3"/>
  <c r="B21"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DK21" i="3"/>
  <c r="DL21" i="3"/>
  <c r="DM21" i="3"/>
  <c r="DN21" i="3"/>
  <c r="DO21" i="3"/>
  <c r="DP21" i="3"/>
  <c r="DQ21" i="3"/>
  <c r="DR21" i="3"/>
  <c r="DS21" i="3"/>
  <c r="DT21" i="3"/>
  <c r="DU21" i="3"/>
  <c r="DV21" i="3"/>
  <c r="DW21" i="3"/>
  <c r="DX21" i="3"/>
  <c r="DY21" i="3"/>
  <c r="DZ21" i="3"/>
  <c r="EA21" i="3"/>
  <c r="EB21" i="3"/>
  <c r="EC21" i="3"/>
  <c r="ED21" i="3"/>
  <c r="EE21" i="3"/>
  <c r="EF21" i="3"/>
  <c r="EG21" i="3"/>
  <c r="EH21" i="3"/>
  <c r="EI21" i="3"/>
  <c r="EJ21" i="3"/>
  <c r="EK21" i="3"/>
  <c r="EL21" i="3"/>
  <c r="EM21" i="3"/>
  <c r="EN21" i="3"/>
  <c r="EO21" i="3"/>
  <c r="EP21" i="3"/>
  <c r="EQ21" i="3"/>
  <c r="ER21" i="3"/>
  <c r="ES21" i="3"/>
  <c r="ET21" i="3"/>
  <c r="EU21" i="3"/>
  <c r="EV21" i="3"/>
  <c r="EW21" i="3"/>
  <c r="EX21" i="3"/>
  <c r="EY21" i="3"/>
  <c r="EZ21" i="3"/>
  <c r="FA21" i="3"/>
  <c r="FB21" i="3"/>
  <c r="FC21" i="3"/>
  <c r="FD21" i="3"/>
  <c r="FE21" i="3"/>
  <c r="FF21" i="3"/>
  <c r="FG21" i="3"/>
  <c r="FH21" i="3"/>
  <c r="FI21" i="3"/>
  <c r="FJ21" i="3"/>
  <c r="FK21" i="3"/>
  <c r="FL21" i="3"/>
  <c r="FM21" i="3"/>
  <c r="FN21" i="3"/>
  <c r="FO21" i="3"/>
  <c r="FP21" i="3"/>
  <c r="FQ21" i="3"/>
  <c r="FR21" i="3"/>
  <c r="FS21" i="3"/>
  <c r="FT21" i="3"/>
  <c r="FU21" i="3"/>
  <c r="FV21" i="3"/>
  <c r="FW21" i="3"/>
  <c r="FX21" i="3"/>
  <c r="FY21" i="3"/>
  <c r="FZ21" i="3"/>
  <c r="GA21" i="3"/>
  <c r="GB21" i="3"/>
  <c r="GC21" i="3"/>
  <c r="GD21" i="3"/>
  <c r="GE21" i="3"/>
  <c r="GF21" i="3"/>
  <c r="GG21" i="3"/>
  <c r="GH21" i="3"/>
  <c r="GI21" i="3"/>
  <c r="GJ21" i="3"/>
  <c r="GK21" i="3"/>
  <c r="GL21" i="3"/>
  <c r="GM21" i="3"/>
  <c r="GN21" i="3"/>
  <c r="GO21" i="3"/>
  <c r="GP21" i="3"/>
  <c r="GQ21" i="3"/>
  <c r="GR21" i="3"/>
  <c r="GS21" i="3"/>
  <c r="GT21" i="3"/>
  <c r="GU21" i="3"/>
  <c r="GV21" i="3"/>
  <c r="GW21" i="3"/>
  <c r="GX21" i="3"/>
  <c r="GY21" i="3"/>
  <c r="GZ21" i="3"/>
  <c r="HA21" i="3"/>
  <c r="HB21" i="3"/>
  <c r="HC21" i="3"/>
  <c r="HD21" i="3"/>
  <c r="HE21" i="3"/>
  <c r="HF21" i="3"/>
  <c r="HG21" i="3"/>
  <c r="HH21" i="3"/>
  <c r="HI21" i="3"/>
  <c r="HJ21" i="3"/>
  <c r="HK21" i="3"/>
  <c r="HL21" i="3"/>
  <c r="HM21" i="3"/>
  <c r="HN21" i="3"/>
  <c r="HO21" i="3"/>
  <c r="HP21" i="3"/>
  <c r="HQ21" i="3"/>
  <c r="HR21" i="3"/>
  <c r="HS21" i="3"/>
  <c r="HT21" i="3"/>
  <c r="HU21" i="3"/>
  <c r="HV21" i="3"/>
  <c r="HW21" i="3"/>
  <c r="HX21" i="3"/>
  <c r="HY21" i="3"/>
  <c r="HZ21" i="3"/>
  <c r="IA21" i="3"/>
  <c r="IB21" i="3"/>
  <c r="IC21" i="3"/>
  <c r="ID21" i="3"/>
  <c r="IE21" i="3"/>
  <c r="IF21" i="3"/>
  <c r="IG21" i="3"/>
  <c r="IH21" i="3"/>
  <c r="II21" i="3"/>
  <c r="IJ21" i="3"/>
  <c r="IK21" i="3"/>
  <c r="IL21" i="3"/>
  <c r="IM21" i="3"/>
  <c r="IN21" i="3"/>
  <c r="IO21" i="3"/>
  <c r="IP21" i="3"/>
  <c r="IQ21" i="3"/>
  <c r="IR21" i="3"/>
  <c r="IS21" i="3"/>
  <c r="IT21" i="3"/>
  <c r="IU21" i="3"/>
  <c r="IV21" i="3"/>
  <c r="A20" i="3"/>
  <c r="B20"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FE20" i="3"/>
  <c r="FF20" i="3"/>
  <c r="FG20" i="3"/>
  <c r="FH20" i="3"/>
  <c r="FI20" i="3"/>
  <c r="FJ20" i="3"/>
  <c r="FK20" i="3"/>
  <c r="FL20" i="3"/>
  <c r="FM20" i="3"/>
  <c r="FN20" i="3"/>
  <c r="FO20" i="3"/>
  <c r="FP20" i="3"/>
  <c r="FQ20" i="3"/>
  <c r="FR20" i="3"/>
  <c r="FS20" i="3"/>
  <c r="FT20" i="3"/>
  <c r="FU20" i="3"/>
  <c r="FV20" i="3"/>
  <c r="FW20" i="3"/>
  <c r="FX20" i="3"/>
  <c r="FY20" i="3"/>
  <c r="FZ20" i="3"/>
  <c r="GA20" i="3"/>
  <c r="GB20" i="3"/>
  <c r="GC20" i="3"/>
  <c r="GD20" i="3"/>
  <c r="GE20" i="3"/>
  <c r="GF20" i="3"/>
  <c r="GG20" i="3"/>
  <c r="GH20" i="3"/>
  <c r="GI20" i="3"/>
  <c r="GJ20" i="3"/>
  <c r="GK20" i="3"/>
  <c r="GL20" i="3"/>
  <c r="GM20" i="3"/>
  <c r="GN20" i="3"/>
  <c r="GO20" i="3"/>
  <c r="GP20" i="3"/>
  <c r="GQ20" i="3"/>
  <c r="GR20" i="3"/>
  <c r="GS20" i="3"/>
  <c r="GT20" i="3"/>
  <c r="GU20" i="3"/>
  <c r="GV20" i="3"/>
  <c r="GW20" i="3"/>
  <c r="GX20" i="3"/>
  <c r="GY20" i="3"/>
  <c r="GZ20" i="3"/>
  <c r="HA20" i="3"/>
  <c r="HB20" i="3"/>
  <c r="HC20" i="3"/>
  <c r="HD20" i="3"/>
  <c r="HE20" i="3"/>
  <c r="HF20" i="3"/>
  <c r="HG20" i="3"/>
  <c r="HH20" i="3"/>
  <c r="HI20" i="3"/>
  <c r="HJ20" i="3"/>
  <c r="HK20" i="3"/>
  <c r="HL20" i="3"/>
  <c r="HM20" i="3"/>
  <c r="HN20" i="3"/>
  <c r="HO20" i="3"/>
  <c r="HP20" i="3"/>
  <c r="HQ20" i="3"/>
  <c r="HR20" i="3"/>
  <c r="HS20" i="3"/>
  <c r="HT20" i="3"/>
  <c r="HU20" i="3"/>
  <c r="HV20" i="3"/>
  <c r="HW20" i="3"/>
  <c r="HX20" i="3"/>
  <c r="HY20" i="3"/>
  <c r="HZ20" i="3"/>
  <c r="IA20" i="3"/>
  <c r="IB20" i="3"/>
  <c r="IC20" i="3"/>
  <c r="ID20" i="3"/>
  <c r="IE20" i="3"/>
  <c r="IF20" i="3"/>
  <c r="IG20" i="3"/>
  <c r="IH20" i="3"/>
  <c r="II20" i="3"/>
  <c r="IJ20" i="3"/>
  <c r="IK20" i="3"/>
  <c r="IL20" i="3"/>
  <c r="IM20" i="3"/>
  <c r="IN20" i="3"/>
  <c r="IO20" i="3"/>
  <c r="IP20" i="3"/>
  <c r="IQ20" i="3"/>
  <c r="IR20" i="3"/>
  <c r="IS20" i="3"/>
  <c r="IT20" i="3"/>
  <c r="IU20" i="3"/>
  <c r="IV20" i="3"/>
  <c r="A19" i="3"/>
  <c r="B19"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EE19" i="3"/>
  <c r="EF19" i="3"/>
  <c r="EG19" i="3"/>
  <c r="EH19" i="3"/>
  <c r="EI19" i="3"/>
  <c r="EJ19" i="3"/>
  <c r="EK19" i="3"/>
  <c r="EL19" i="3"/>
  <c r="EM19" i="3"/>
  <c r="EN19" i="3"/>
  <c r="EO19" i="3"/>
  <c r="EP19" i="3"/>
  <c r="EQ19" i="3"/>
  <c r="ER19" i="3"/>
  <c r="ES19" i="3"/>
  <c r="ET19" i="3"/>
  <c r="EU19" i="3"/>
  <c r="EV19" i="3"/>
  <c r="EW19" i="3"/>
  <c r="EX19" i="3"/>
  <c r="EY19" i="3"/>
  <c r="EZ19" i="3"/>
  <c r="FA19" i="3"/>
  <c r="FB19" i="3"/>
  <c r="FC19" i="3"/>
  <c r="FD19" i="3"/>
  <c r="FE19" i="3"/>
  <c r="FF19" i="3"/>
  <c r="FG19" i="3"/>
  <c r="FH19" i="3"/>
  <c r="FI19" i="3"/>
  <c r="FJ19" i="3"/>
  <c r="FK19" i="3"/>
  <c r="FL19" i="3"/>
  <c r="FM19" i="3"/>
  <c r="FN19" i="3"/>
  <c r="FO19" i="3"/>
  <c r="FP19" i="3"/>
  <c r="FQ19" i="3"/>
  <c r="FR19" i="3"/>
  <c r="FS19" i="3"/>
  <c r="FT19" i="3"/>
  <c r="FU19" i="3"/>
  <c r="FV19" i="3"/>
  <c r="FW19" i="3"/>
  <c r="FX19" i="3"/>
  <c r="FY19" i="3"/>
  <c r="FZ19" i="3"/>
  <c r="GA19" i="3"/>
  <c r="GB19" i="3"/>
  <c r="GC19" i="3"/>
  <c r="GD19" i="3"/>
  <c r="GE19" i="3"/>
  <c r="GF19" i="3"/>
  <c r="GG19" i="3"/>
  <c r="GH19" i="3"/>
  <c r="GI19" i="3"/>
  <c r="GJ19" i="3"/>
  <c r="GK19" i="3"/>
  <c r="GL19" i="3"/>
  <c r="GM19" i="3"/>
  <c r="GN19" i="3"/>
  <c r="GO19" i="3"/>
  <c r="GP19" i="3"/>
  <c r="GQ19" i="3"/>
  <c r="GR19" i="3"/>
  <c r="GS19" i="3"/>
  <c r="GT19" i="3"/>
  <c r="GU19" i="3"/>
  <c r="GV19" i="3"/>
  <c r="GW19" i="3"/>
  <c r="GX19" i="3"/>
  <c r="GY19" i="3"/>
  <c r="GZ19" i="3"/>
  <c r="HA19" i="3"/>
  <c r="HB19" i="3"/>
  <c r="HC19" i="3"/>
  <c r="HD19" i="3"/>
  <c r="HE19" i="3"/>
  <c r="HF19" i="3"/>
  <c r="HG19" i="3"/>
  <c r="HH19" i="3"/>
  <c r="HI19" i="3"/>
  <c r="HJ19" i="3"/>
  <c r="HK19" i="3"/>
  <c r="HL19" i="3"/>
  <c r="HM19" i="3"/>
  <c r="HN19" i="3"/>
  <c r="HO19" i="3"/>
  <c r="HP19" i="3"/>
  <c r="HQ19" i="3"/>
  <c r="HR19" i="3"/>
  <c r="HS19" i="3"/>
  <c r="HT19" i="3"/>
  <c r="HU19" i="3"/>
  <c r="HV19" i="3"/>
  <c r="HW19" i="3"/>
  <c r="HX19" i="3"/>
  <c r="HY19" i="3"/>
  <c r="HZ19" i="3"/>
  <c r="IA19" i="3"/>
  <c r="IB19" i="3"/>
  <c r="IC19" i="3"/>
  <c r="ID19" i="3"/>
  <c r="IE19" i="3"/>
  <c r="IF19" i="3"/>
  <c r="IG19" i="3"/>
  <c r="IH19" i="3"/>
  <c r="II19" i="3"/>
  <c r="IJ19" i="3"/>
  <c r="IK19" i="3"/>
  <c r="IL19" i="3"/>
  <c r="IM19" i="3"/>
  <c r="IN19" i="3"/>
  <c r="IO19" i="3"/>
  <c r="IP19" i="3"/>
  <c r="IQ19" i="3"/>
  <c r="IR19" i="3"/>
  <c r="IS19" i="3"/>
  <c r="IT19" i="3"/>
  <c r="IU19" i="3"/>
  <c r="IV19" i="3"/>
  <c r="A18" i="3"/>
  <c r="B18"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EE18" i="3"/>
  <c r="EF18" i="3"/>
  <c r="EG18" i="3"/>
  <c r="EH18" i="3"/>
  <c r="EI18" i="3"/>
  <c r="EJ18" i="3"/>
  <c r="EK18" i="3"/>
  <c r="EL18" i="3"/>
  <c r="EM18" i="3"/>
  <c r="EN18" i="3"/>
  <c r="EO18" i="3"/>
  <c r="EP18" i="3"/>
  <c r="EQ18" i="3"/>
  <c r="ER18" i="3"/>
  <c r="ES18" i="3"/>
  <c r="ET18" i="3"/>
  <c r="EU18" i="3"/>
  <c r="EV18" i="3"/>
  <c r="EW18" i="3"/>
  <c r="EX18" i="3"/>
  <c r="EY18" i="3"/>
  <c r="EZ18" i="3"/>
  <c r="FA18" i="3"/>
  <c r="FB18" i="3"/>
  <c r="FC18" i="3"/>
  <c r="FD18" i="3"/>
  <c r="FE18" i="3"/>
  <c r="FF18" i="3"/>
  <c r="FG18" i="3"/>
  <c r="FH18" i="3"/>
  <c r="FI18" i="3"/>
  <c r="FJ18" i="3"/>
  <c r="FK18" i="3"/>
  <c r="FL18" i="3"/>
  <c r="FM18" i="3"/>
  <c r="FN18" i="3"/>
  <c r="FO18" i="3"/>
  <c r="FP18" i="3"/>
  <c r="FQ18" i="3"/>
  <c r="FR18" i="3"/>
  <c r="FS18" i="3"/>
  <c r="FT18" i="3"/>
  <c r="FU18" i="3"/>
  <c r="FV18" i="3"/>
  <c r="FW18" i="3"/>
  <c r="FX18" i="3"/>
  <c r="FY18" i="3"/>
  <c r="FZ18" i="3"/>
  <c r="GA18" i="3"/>
  <c r="GB18" i="3"/>
  <c r="GC18" i="3"/>
  <c r="GD18" i="3"/>
  <c r="GE18" i="3"/>
  <c r="GF18" i="3"/>
  <c r="GG18" i="3"/>
  <c r="GH18" i="3"/>
  <c r="GI18" i="3"/>
  <c r="GJ18" i="3"/>
  <c r="GK18" i="3"/>
  <c r="GL18" i="3"/>
  <c r="GM18" i="3"/>
  <c r="GN18" i="3"/>
  <c r="GO18" i="3"/>
  <c r="GP18" i="3"/>
  <c r="GQ18" i="3"/>
  <c r="GR18" i="3"/>
  <c r="GS18" i="3"/>
  <c r="GT18" i="3"/>
  <c r="GU18" i="3"/>
  <c r="GV18" i="3"/>
  <c r="GW18" i="3"/>
  <c r="GX18" i="3"/>
  <c r="GY18" i="3"/>
  <c r="GZ18" i="3"/>
  <c r="HA18" i="3"/>
  <c r="HB18" i="3"/>
  <c r="HC18" i="3"/>
  <c r="HD18" i="3"/>
  <c r="HE18" i="3"/>
  <c r="HF18" i="3"/>
  <c r="HG18" i="3"/>
  <c r="HH18" i="3"/>
  <c r="HI18" i="3"/>
  <c r="HJ18" i="3"/>
  <c r="HK18" i="3"/>
  <c r="HL18" i="3"/>
  <c r="HM18" i="3"/>
  <c r="HN18" i="3"/>
  <c r="HO18" i="3"/>
  <c r="HP18" i="3"/>
  <c r="HQ18" i="3"/>
  <c r="HR18" i="3"/>
  <c r="HS18" i="3"/>
  <c r="HT18" i="3"/>
  <c r="HU18" i="3"/>
  <c r="HV18" i="3"/>
  <c r="HW18" i="3"/>
  <c r="HX18" i="3"/>
  <c r="HY18" i="3"/>
  <c r="HZ18" i="3"/>
  <c r="IA18" i="3"/>
  <c r="IB18" i="3"/>
  <c r="IC18" i="3"/>
  <c r="ID18" i="3"/>
  <c r="IE18" i="3"/>
  <c r="IF18" i="3"/>
  <c r="IG18" i="3"/>
  <c r="IH18" i="3"/>
  <c r="II18" i="3"/>
  <c r="IJ18" i="3"/>
  <c r="IK18" i="3"/>
  <c r="IL18" i="3"/>
  <c r="IM18" i="3"/>
  <c r="IN18" i="3"/>
  <c r="IO18" i="3"/>
  <c r="IP18" i="3"/>
  <c r="IQ18" i="3"/>
  <c r="IR18" i="3"/>
  <c r="IS18" i="3"/>
  <c r="IT18" i="3"/>
  <c r="IU18" i="3"/>
  <c r="IV18" i="3"/>
  <c r="A17" i="3"/>
  <c r="B17"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DK17" i="3"/>
  <c r="DL17" i="3"/>
  <c r="DM17" i="3"/>
  <c r="DN17" i="3"/>
  <c r="DO17" i="3"/>
  <c r="DP17" i="3"/>
  <c r="DQ17" i="3"/>
  <c r="DR17" i="3"/>
  <c r="DS17" i="3"/>
  <c r="DT17" i="3"/>
  <c r="DU17" i="3"/>
  <c r="DV17" i="3"/>
  <c r="DW17" i="3"/>
  <c r="DX17" i="3"/>
  <c r="DY17" i="3"/>
  <c r="DZ17" i="3"/>
  <c r="EA17" i="3"/>
  <c r="EB17" i="3"/>
  <c r="EC17" i="3"/>
  <c r="ED17" i="3"/>
  <c r="EE17" i="3"/>
  <c r="EF17" i="3"/>
  <c r="EG17" i="3"/>
  <c r="EH17" i="3"/>
  <c r="EI17" i="3"/>
  <c r="EJ17" i="3"/>
  <c r="EK17" i="3"/>
  <c r="EL17" i="3"/>
  <c r="EM17" i="3"/>
  <c r="EN17" i="3"/>
  <c r="EO17" i="3"/>
  <c r="EP17" i="3"/>
  <c r="EQ17" i="3"/>
  <c r="ER17" i="3"/>
  <c r="ES17" i="3"/>
  <c r="ET17" i="3"/>
  <c r="EU17" i="3"/>
  <c r="EV17" i="3"/>
  <c r="EW17" i="3"/>
  <c r="EX17" i="3"/>
  <c r="EY17" i="3"/>
  <c r="EZ17" i="3"/>
  <c r="FA17" i="3"/>
  <c r="FB17" i="3"/>
  <c r="FC17" i="3"/>
  <c r="FD17" i="3"/>
  <c r="FE17" i="3"/>
  <c r="FF17" i="3"/>
  <c r="FG17" i="3"/>
  <c r="FH17" i="3"/>
  <c r="FI17" i="3"/>
  <c r="FJ17" i="3"/>
  <c r="FK17" i="3"/>
  <c r="FL17" i="3"/>
  <c r="FM17" i="3"/>
  <c r="FN17" i="3"/>
  <c r="FO17" i="3"/>
  <c r="FP17" i="3"/>
  <c r="FQ17" i="3"/>
  <c r="FR17" i="3"/>
  <c r="FS17" i="3"/>
  <c r="FT17" i="3"/>
  <c r="FU17" i="3"/>
  <c r="FV17" i="3"/>
  <c r="FW17" i="3"/>
  <c r="FX17" i="3"/>
  <c r="FY17" i="3"/>
  <c r="FZ17" i="3"/>
  <c r="GA17" i="3"/>
  <c r="GB17" i="3"/>
  <c r="GC17" i="3"/>
  <c r="GD17" i="3"/>
  <c r="GE17" i="3"/>
  <c r="GF17" i="3"/>
  <c r="GG17" i="3"/>
  <c r="GH17" i="3"/>
  <c r="GI17" i="3"/>
  <c r="GJ17" i="3"/>
  <c r="GK17" i="3"/>
  <c r="GL17" i="3"/>
  <c r="GM17" i="3"/>
  <c r="GN17" i="3"/>
  <c r="GO17" i="3"/>
  <c r="GP17" i="3"/>
  <c r="GQ17" i="3"/>
  <c r="GR17" i="3"/>
  <c r="GS17" i="3"/>
  <c r="GT17" i="3"/>
  <c r="GU17" i="3"/>
  <c r="GV17" i="3"/>
  <c r="GW17" i="3"/>
  <c r="GX17" i="3"/>
  <c r="GY17" i="3"/>
  <c r="GZ17" i="3"/>
  <c r="HA17" i="3"/>
  <c r="HB17" i="3"/>
  <c r="HC17" i="3"/>
  <c r="HD17" i="3"/>
  <c r="HE17" i="3"/>
  <c r="HF17" i="3"/>
  <c r="HG17" i="3"/>
  <c r="HH17" i="3"/>
  <c r="HI17" i="3"/>
  <c r="HJ17" i="3"/>
  <c r="HK17" i="3"/>
  <c r="HL17" i="3"/>
  <c r="HM17" i="3"/>
  <c r="HN17" i="3"/>
  <c r="HO17" i="3"/>
  <c r="HP17" i="3"/>
  <c r="HQ17" i="3"/>
  <c r="HR17" i="3"/>
  <c r="HS17" i="3"/>
  <c r="HT17" i="3"/>
  <c r="HU17" i="3"/>
  <c r="HV17" i="3"/>
  <c r="HW17" i="3"/>
  <c r="HX17" i="3"/>
  <c r="HY17" i="3"/>
  <c r="HZ17" i="3"/>
  <c r="IA17" i="3"/>
  <c r="IB17" i="3"/>
  <c r="IC17" i="3"/>
  <c r="ID17" i="3"/>
  <c r="IE17" i="3"/>
  <c r="IF17" i="3"/>
  <c r="IG17" i="3"/>
  <c r="IH17" i="3"/>
  <c r="II17" i="3"/>
  <c r="IJ17" i="3"/>
  <c r="IK17" i="3"/>
  <c r="IL17" i="3"/>
  <c r="IM17" i="3"/>
  <c r="IN17" i="3"/>
  <c r="IO17" i="3"/>
  <c r="IP17" i="3"/>
  <c r="IQ17" i="3"/>
  <c r="IR17" i="3"/>
  <c r="IS17" i="3"/>
  <c r="IT17" i="3"/>
  <c r="IU17" i="3"/>
  <c r="IV17" i="3"/>
  <c r="A16" i="3"/>
  <c r="B16"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DK16" i="3"/>
  <c r="DL16" i="3"/>
  <c r="DM16" i="3"/>
  <c r="DN16" i="3"/>
  <c r="DO16" i="3"/>
  <c r="DP16" i="3"/>
  <c r="DQ16" i="3"/>
  <c r="DR16" i="3"/>
  <c r="DS16" i="3"/>
  <c r="DT16" i="3"/>
  <c r="DU16" i="3"/>
  <c r="DV16" i="3"/>
  <c r="DW16" i="3"/>
  <c r="DX16" i="3"/>
  <c r="DY16" i="3"/>
  <c r="DZ16" i="3"/>
  <c r="EA16" i="3"/>
  <c r="EB16" i="3"/>
  <c r="EC16" i="3"/>
  <c r="ED16" i="3"/>
  <c r="EE16" i="3"/>
  <c r="EF16" i="3"/>
  <c r="EG16" i="3"/>
  <c r="EH16" i="3"/>
  <c r="EI16" i="3"/>
  <c r="EJ16" i="3"/>
  <c r="EK16" i="3"/>
  <c r="EL16" i="3"/>
  <c r="EM16" i="3"/>
  <c r="EN16" i="3"/>
  <c r="EO16" i="3"/>
  <c r="EP16" i="3"/>
  <c r="EQ16" i="3"/>
  <c r="ER16" i="3"/>
  <c r="ES16" i="3"/>
  <c r="ET16" i="3"/>
  <c r="EU16" i="3"/>
  <c r="EV16" i="3"/>
  <c r="EW16" i="3"/>
  <c r="EX16" i="3"/>
  <c r="EY16" i="3"/>
  <c r="EZ16" i="3"/>
  <c r="FA16" i="3"/>
  <c r="FB16" i="3"/>
  <c r="FC16" i="3"/>
  <c r="FD16" i="3"/>
  <c r="FE16" i="3"/>
  <c r="FF16" i="3"/>
  <c r="FG16" i="3"/>
  <c r="FH16" i="3"/>
  <c r="FI16" i="3"/>
  <c r="FJ16" i="3"/>
  <c r="FK16" i="3"/>
  <c r="FL16" i="3"/>
  <c r="FM16" i="3"/>
  <c r="FN16" i="3"/>
  <c r="FO16" i="3"/>
  <c r="FP16" i="3"/>
  <c r="FQ16" i="3"/>
  <c r="FR16" i="3"/>
  <c r="FS16" i="3"/>
  <c r="FT16" i="3"/>
  <c r="FU16" i="3"/>
  <c r="FV16" i="3"/>
  <c r="FW16" i="3"/>
  <c r="FX16" i="3"/>
  <c r="FY16" i="3"/>
  <c r="FZ16" i="3"/>
  <c r="GA16" i="3"/>
  <c r="GB16" i="3"/>
  <c r="GC16" i="3"/>
  <c r="GD16" i="3"/>
  <c r="GE16" i="3"/>
  <c r="GF16" i="3"/>
  <c r="GG16" i="3"/>
  <c r="GH16" i="3"/>
  <c r="GI16" i="3"/>
  <c r="GJ16" i="3"/>
  <c r="GK16" i="3"/>
  <c r="GL16" i="3"/>
  <c r="GM16" i="3"/>
  <c r="GN16" i="3"/>
  <c r="GO16" i="3"/>
  <c r="GP16" i="3"/>
  <c r="GQ16" i="3"/>
  <c r="GR16" i="3"/>
  <c r="GS16" i="3"/>
  <c r="GT16" i="3"/>
  <c r="GU16" i="3"/>
  <c r="GV16" i="3"/>
  <c r="GW16" i="3"/>
  <c r="GX16" i="3"/>
  <c r="GY16" i="3"/>
  <c r="GZ16" i="3"/>
  <c r="HA16" i="3"/>
  <c r="HB16" i="3"/>
  <c r="HC16" i="3"/>
  <c r="HD16" i="3"/>
  <c r="HE16" i="3"/>
  <c r="HF16" i="3"/>
  <c r="HG16" i="3"/>
  <c r="HH16" i="3"/>
  <c r="HI16" i="3"/>
  <c r="HJ16" i="3"/>
  <c r="HK16" i="3"/>
  <c r="HL16" i="3"/>
  <c r="HM16" i="3"/>
  <c r="HN16" i="3"/>
  <c r="HO16" i="3"/>
  <c r="HP16" i="3"/>
  <c r="HQ16" i="3"/>
  <c r="HR16" i="3"/>
  <c r="HS16" i="3"/>
  <c r="HT16" i="3"/>
  <c r="HU16" i="3"/>
  <c r="HV16" i="3"/>
  <c r="HW16" i="3"/>
  <c r="HX16" i="3"/>
  <c r="HY16" i="3"/>
  <c r="HZ16" i="3"/>
  <c r="IA16" i="3"/>
  <c r="IB16" i="3"/>
  <c r="IC16" i="3"/>
  <c r="ID16" i="3"/>
  <c r="IE16" i="3"/>
  <c r="IF16" i="3"/>
  <c r="IG16" i="3"/>
  <c r="IH16" i="3"/>
  <c r="II16" i="3"/>
  <c r="IJ16" i="3"/>
  <c r="IK16" i="3"/>
  <c r="IL16" i="3"/>
  <c r="IM16" i="3"/>
  <c r="IN16" i="3"/>
  <c r="IO16" i="3"/>
  <c r="IP16" i="3"/>
  <c r="IQ16" i="3"/>
  <c r="IR16" i="3"/>
  <c r="IS16" i="3"/>
  <c r="IT16" i="3"/>
  <c r="IU16" i="3"/>
  <c r="IV16" i="3"/>
  <c r="A15" i="3"/>
  <c r="B15"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DK15" i="3"/>
  <c r="DL15" i="3"/>
  <c r="DM15" i="3"/>
  <c r="DN15" i="3"/>
  <c r="DO15" i="3"/>
  <c r="DP15" i="3"/>
  <c r="DQ15" i="3"/>
  <c r="DR15" i="3"/>
  <c r="DS15" i="3"/>
  <c r="DT15" i="3"/>
  <c r="DU15" i="3"/>
  <c r="DV15" i="3"/>
  <c r="DW15" i="3"/>
  <c r="DX15" i="3"/>
  <c r="DY15" i="3"/>
  <c r="DZ15" i="3"/>
  <c r="EA15" i="3"/>
  <c r="EB15" i="3"/>
  <c r="EC15" i="3"/>
  <c r="ED15" i="3"/>
  <c r="EE15" i="3"/>
  <c r="EF15" i="3"/>
  <c r="EG15" i="3"/>
  <c r="EH15" i="3"/>
  <c r="EI15" i="3"/>
  <c r="EJ15" i="3"/>
  <c r="EK15" i="3"/>
  <c r="EL15" i="3"/>
  <c r="EM15" i="3"/>
  <c r="EN15" i="3"/>
  <c r="EO15" i="3"/>
  <c r="EP15" i="3"/>
  <c r="EQ15" i="3"/>
  <c r="ER15" i="3"/>
  <c r="ES15" i="3"/>
  <c r="ET15" i="3"/>
  <c r="EU15" i="3"/>
  <c r="EV15" i="3"/>
  <c r="EW15" i="3"/>
  <c r="EX15" i="3"/>
  <c r="EY15" i="3"/>
  <c r="EZ15" i="3"/>
  <c r="FA15" i="3"/>
  <c r="FB15" i="3"/>
  <c r="FC15" i="3"/>
  <c r="FD15" i="3"/>
  <c r="FE15" i="3"/>
  <c r="FF15" i="3"/>
  <c r="FG15" i="3"/>
  <c r="FH15" i="3"/>
  <c r="FI15" i="3"/>
  <c r="FJ15" i="3"/>
  <c r="FK15" i="3"/>
  <c r="FL15" i="3"/>
  <c r="FM15" i="3"/>
  <c r="FN15" i="3"/>
  <c r="FO15" i="3"/>
  <c r="FP15" i="3"/>
  <c r="FQ15" i="3"/>
  <c r="FR15" i="3"/>
  <c r="FS15" i="3"/>
  <c r="FT15" i="3"/>
  <c r="FU15" i="3"/>
  <c r="FV15" i="3"/>
  <c r="FW15" i="3"/>
  <c r="FX15" i="3"/>
  <c r="FY15" i="3"/>
  <c r="FZ15" i="3"/>
  <c r="GA15" i="3"/>
  <c r="GB15" i="3"/>
  <c r="GC15" i="3"/>
  <c r="GD15" i="3"/>
  <c r="GE15" i="3"/>
  <c r="GF15" i="3"/>
  <c r="GG15" i="3"/>
  <c r="GH15" i="3"/>
  <c r="GI15" i="3"/>
  <c r="GJ15" i="3"/>
  <c r="GK15" i="3"/>
  <c r="GL15" i="3"/>
  <c r="GM15" i="3"/>
  <c r="GN15" i="3"/>
  <c r="GO15" i="3"/>
  <c r="GP15" i="3"/>
  <c r="GQ15" i="3"/>
  <c r="GR15" i="3"/>
  <c r="GS15" i="3"/>
  <c r="GT15" i="3"/>
  <c r="GU15" i="3"/>
  <c r="GV15" i="3"/>
  <c r="GW15" i="3"/>
  <c r="GX15" i="3"/>
  <c r="GY15" i="3"/>
  <c r="GZ15" i="3"/>
  <c r="HA15" i="3"/>
  <c r="HB15" i="3"/>
  <c r="HC15" i="3"/>
  <c r="HD15" i="3"/>
  <c r="HE15" i="3"/>
  <c r="HF15" i="3"/>
  <c r="HG15" i="3"/>
  <c r="HH15" i="3"/>
  <c r="HI15" i="3"/>
  <c r="HJ15" i="3"/>
  <c r="HK15" i="3"/>
  <c r="HL15" i="3"/>
  <c r="HM15" i="3"/>
  <c r="HN15" i="3"/>
  <c r="HO15" i="3"/>
  <c r="HP15" i="3"/>
  <c r="HQ15" i="3"/>
  <c r="HR15" i="3"/>
  <c r="HS15" i="3"/>
  <c r="HT15" i="3"/>
  <c r="HU15" i="3"/>
  <c r="HV15" i="3"/>
  <c r="HW15" i="3"/>
  <c r="HX15" i="3"/>
  <c r="HY15" i="3"/>
  <c r="HZ15" i="3"/>
  <c r="IA15" i="3"/>
  <c r="IB15" i="3"/>
  <c r="IC15" i="3"/>
  <c r="ID15" i="3"/>
  <c r="IE15" i="3"/>
  <c r="IF15" i="3"/>
  <c r="IG15" i="3"/>
  <c r="IH15" i="3"/>
  <c r="II15" i="3"/>
  <c r="IJ15" i="3"/>
  <c r="IK15" i="3"/>
  <c r="IL15" i="3"/>
  <c r="IM15" i="3"/>
  <c r="IN15" i="3"/>
  <c r="IO15" i="3"/>
  <c r="IP15" i="3"/>
  <c r="IQ15" i="3"/>
  <c r="IR15" i="3"/>
  <c r="IS15" i="3"/>
  <c r="IT15" i="3"/>
  <c r="IU15" i="3"/>
  <c r="IV15" i="3"/>
  <c r="A14" i="3"/>
  <c r="B14"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DK14" i="3"/>
  <c r="DL14" i="3"/>
  <c r="DM14" i="3"/>
  <c r="DN14" i="3"/>
  <c r="DO14" i="3"/>
  <c r="DP14" i="3"/>
  <c r="DQ14" i="3"/>
  <c r="DR14" i="3"/>
  <c r="DS14" i="3"/>
  <c r="DT14" i="3"/>
  <c r="DU14" i="3"/>
  <c r="DV14" i="3"/>
  <c r="DW14" i="3"/>
  <c r="DX14" i="3"/>
  <c r="DY14" i="3"/>
  <c r="DZ14" i="3"/>
  <c r="EA14" i="3"/>
  <c r="EB14" i="3"/>
  <c r="EC14" i="3"/>
  <c r="ED14" i="3"/>
  <c r="EE14" i="3"/>
  <c r="EF14" i="3"/>
  <c r="EG14" i="3"/>
  <c r="EH14" i="3"/>
  <c r="EI14" i="3"/>
  <c r="EJ14" i="3"/>
  <c r="EK14" i="3"/>
  <c r="EL14" i="3"/>
  <c r="EM14" i="3"/>
  <c r="EN14" i="3"/>
  <c r="EO14" i="3"/>
  <c r="EP14" i="3"/>
  <c r="EQ14" i="3"/>
  <c r="ER14" i="3"/>
  <c r="ES14" i="3"/>
  <c r="ET14" i="3"/>
  <c r="EU14" i="3"/>
  <c r="EV14" i="3"/>
  <c r="EW14" i="3"/>
  <c r="EX14" i="3"/>
  <c r="EY14" i="3"/>
  <c r="EZ14" i="3"/>
  <c r="FA14" i="3"/>
  <c r="FB14" i="3"/>
  <c r="FC14" i="3"/>
  <c r="FD14" i="3"/>
  <c r="FE14" i="3"/>
  <c r="FF14" i="3"/>
  <c r="FG14" i="3"/>
  <c r="FH14" i="3"/>
  <c r="FI14" i="3"/>
  <c r="FJ14" i="3"/>
  <c r="FK14" i="3"/>
  <c r="FL14" i="3"/>
  <c r="FM14" i="3"/>
  <c r="FN14" i="3"/>
  <c r="FO14" i="3"/>
  <c r="FP14" i="3"/>
  <c r="FQ14" i="3"/>
  <c r="FR14" i="3"/>
  <c r="FS14" i="3"/>
  <c r="FT14" i="3"/>
  <c r="FU14" i="3"/>
  <c r="FV14" i="3"/>
  <c r="FW14" i="3"/>
  <c r="FX14" i="3"/>
  <c r="FY14" i="3"/>
  <c r="FZ14" i="3"/>
  <c r="GA14" i="3"/>
  <c r="GB14" i="3"/>
  <c r="GC14" i="3"/>
  <c r="GD14" i="3"/>
  <c r="GE14" i="3"/>
  <c r="GF14" i="3"/>
  <c r="GG14" i="3"/>
  <c r="GH14" i="3"/>
  <c r="GI14" i="3"/>
  <c r="GJ14" i="3"/>
  <c r="GK14" i="3"/>
  <c r="GL14" i="3"/>
  <c r="GM14" i="3"/>
  <c r="GN14" i="3"/>
  <c r="GO14" i="3"/>
  <c r="GP14" i="3"/>
  <c r="GQ14" i="3"/>
  <c r="GR14" i="3"/>
  <c r="GS14" i="3"/>
  <c r="GT14" i="3"/>
  <c r="GU14" i="3"/>
  <c r="GV14" i="3"/>
  <c r="GW14" i="3"/>
  <c r="GX14" i="3"/>
  <c r="GY14" i="3"/>
  <c r="GZ14" i="3"/>
  <c r="HA14" i="3"/>
  <c r="HB14" i="3"/>
  <c r="HC14" i="3"/>
  <c r="HD14" i="3"/>
  <c r="HE14" i="3"/>
  <c r="HF14" i="3"/>
  <c r="HG14" i="3"/>
  <c r="HH14" i="3"/>
  <c r="HI14" i="3"/>
  <c r="HJ14" i="3"/>
  <c r="HK14" i="3"/>
  <c r="HL14" i="3"/>
  <c r="HM14" i="3"/>
  <c r="HN14" i="3"/>
  <c r="HO14" i="3"/>
  <c r="HP14" i="3"/>
  <c r="HQ14" i="3"/>
  <c r="HR14" i="3"/>
  <c r="HS14" i="3"/>
  <c r="HT14" i="3"/>
  <c r="HU14" i="3"/>
  <c r="HV14" i="3"/>
  <c r="HW14" i="3"/>
  <c r="HX14" i="3"/>
  <c r="HY14" i="3"/>
  <c r="HZ14" i="3"/>
  <c r="IA14" i="3"/>
  <c r="IB14" i="3"/>
  <c r="IC14" i="3"/>
  <c r="ID14" i="3"/>
  <c r="IE14" i="3"/>
  <c r="IF14" i="3"/>
  <c r="IG14" i="3"/>
  <c r="IH14" i="3"/>
  <c r="II14" i="3"/>
  <c r="IJ14" i="3"/>
  <c r="IK14" i="3"/>
  <c r="IL14" i="3"/>
  <c r="IM14" i="3"/>
  <c r="IN14" i="3"/>
  <c r="IO14" i="3"/>
  <c r="IP14" i="3"/>
  <c r="IQ14" i="3"/>
  <c r="IR14" i="3"/>
  <c r="IS14" i="3"/>
  <c r="IT14" i="3"/>
  <c r="IU14" i="3"/>
  <c r="IV14" i="3"/>
  <c r="A13" i="3"/>
  <c r="B13" i="3"/>
  <c r="C13"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DK13" i="3"/>
  <c r="DL13" i="3"/>
  <c r="DM13" i="3"/>
  <c r="DN13" i="3"/>
  <c r="DO13" i="3"/>
  <c r="DP13" i="3"/>
  <c r="DQ13" i="3"/>
  <c r="DR13" i="3"/>
  <c r="DS13" i="3"/>
  <c r="DT13" i="3"/>
  <c r="DU13" i="3"/>
  <c r="DV13" i="3"/>
  <c r="DW13" i="3"/>
  <c r="DX13" i="3"/>
  <c r="DY13" i="3"/>
  <c r="DZ13" i="3"/>
  <c r="EA13" i="3"/>
  <c r="EB13" i="3"/>
  <c r="EC13" i="3"/>
  <c r="ED13" i="3"/>
  <c r="EE13" i="3"/>
  <c r="EF13" i="3"/>
  <c r="EG13" i="3"/>
  <c r="EH13" i="3"/>
  <c r="EI13" i="3"/>
  <c r="EJ13" i="3"/>
  <c r="EK13" i="3"/>
  <c r="EL13" i="3"/>
  <c r="EM13" i="3"/>
  <c r="EN13" i="3"/>
  <c r="EO13" i="3"/>
  <c r="EP13" i="3"/>
  <c r="EQ13" i="3"/>
  <c r="ER13" i="3"/>
  <c r="ES13" i="3"/>
  <c r="ET13" i="3"/>
  <c r="EU13" i="3"/>
  <c r="EV13" i="3"/>
  <c r="EW13" i="3"/>
  <c r="EX13" i="3"/>
  <c r="EY13" i="3"/>
  <c r="EZ13" i="3"/>
  <c r="FA13" i="3"/>
  <c r="FB13" i="3"/>
  <c r="FC13" i="3"/>
  <c r="FD13" i="3"/>
  <c r="FE13" i="3"/>
  <c r="FF13" i="3"/>
  <c r="FG13" i="3"/>
  <c r="FH13" i="3"/>
  <c r="FI13" i="3"/>
  <c r="FJ13" i="3"/>
  <c r="FK13" i="3"/>
  <c r="FL13" i="3"/>
  <c r="FM13" i="3"/>
  <c r="FN13" i="3"/>
  <c r="FO13" i="3"/>
  <c r="FP13" i="3"/>
  <c r="FQ13" i="3"/>
  <c r="FR13" i="3"/>
  <c r="FS13" i="3"/>
  <c r="FT13" i="3"/>
  <c r="FU13" i="3"/>
  <c r="FV13" i="3"/>
  <c r="FW13" i="3"/>
  <c r="FX13" i="3"/>
  <c r="FY13" i="3"/>
  <c r="FZ13" i="3"/>
  <c r="GA13" i="3"/>
  <c r="GB13" i="3"/>
  <c r="GC13" i="3"/>
  <c r="GD13" i="3"/>
  <c r="GE13" i="3"/>
  <c r="GF13" i="3"/>
  <c r="GG13" i="3"/>
  <c r="GH13" i="3"/>
  <c r="GI13" i="3"/>
  <c r="GJ13" i="3"/>
  <c r="GK13" i="3"/>
  <c r="GL13" i="3"/>
  <c r="GM13" i="3"/>
  <c r="GN13" i="3"/>
  <c r="GO13" i="3"/>
  <c r="GP13" i="3"/>
  <c r="GQ13" i="3"/>
  <c r="GR13" i="3"/>
  <c r="GS13" i="3"/>
  <c r="GT13" i="3"/>
  <c r="GU13" i="3"/>
  <c r="GV13" i="3"/>
  <c r="GW13" i="3"/>
  <c r="GX13" i="3"/>
  <c r="GY13" i="3"/>
  <c r="GZ13" i="3"/>
  <c r="HA13" i="3"/>
  <c r="HB13" i="3"/>
  <c r="HC13" i="3"/>
  <c r="HD13" i="3"/>
  <c r="HE13" i="3"/>
  <c r="HF13" i="3"/>
  <c r="HG13" i="3"/>
  <c r="HH13" i="3"/>
  <c r="HI13" i="3"/>
  <c r="HJ13" i="3"/>
  <c r="HK13" i="3"/>
  <c r="HL13" i="3"/>
  <c r="HM13" i="3"/>
  <c r="HN13" i="3"/>
  <c r="HO13" i="3"/>
  <c r="HP13" i="3"/>
  <c r="HQ13" i="3"/>
  <c r="HR13" i="3"/>
  <c r="HS13" i="3"/>
  <c r="HT13" i="3"/>
  <c r="HU13" i="3"/>
  <c r="HV13" i="3"/>
  <c r="HW13" i="3"/>
  <c r="HX13" i="3"/>
  <c r="HY13" i="3"/>
  <c r="HZ13" i="3"/>
  <c r="IA13" i="3"/>
  <c r="IB13" i="3"/>
  <c r="IC13" i="3"/>
  <c r="ID13" i="3"/>
  <c r="IE13" i="3"/>
  <c r="IF13" i="3"/>
  <c r="IG13" i="3"/>
  <c r="IH13" i="3"/>
  <c r="II13" i="3"/>
  <c r="IJ13" i="3"/>
  <c r="IK13" i="3"/>
  <c r="IL13" i="3"/>
  <c r="IM13" i="3"/>
  <c r="IN13" i="3"/>
  <c r="IO13" i="3"/>
  <c r="IP13" i="3"/>
  <c r="IQ13" i="3"/>
  <c r="IR13" i="3"/>
  <c r="IS13" i="3"/>
  <c r="IT13" i="3"/>
  <c r="IU13" i="3"/>
  <c r="IV13" i="3"/>
  <c r="A12" i="3"/>
  <c r="B12"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DK12" i="3"/>
  <c r="DL12" i="3"/>
  <c r="DM12" i="3"/>
  <c r="DN12" i="3"/>
  <c r="DO12" i="3"/>
  <c r="DP12" i="3"/>
  <c r="DQ12" i="3"/>
  <c r="DR12" i="3"/>
  <c r="DS12" i="3"/>
  <c r="DT12" i="3"/>
  <c r="DU12" i="3"/>
  <c r="DV12" i="3"/>
  <c r="DW12" i="3"/>
  <c r="DX12" i="3"/>
  <c r="DY12" i="3"/>
  <c r="DZ12" i="3"/>
  <c r="EA12" i="3"/>
  <c r="EB12" i="3"/>
  <c r="EC12" i="3"/>
  <c r="ED12" i="3"/>
  <c r="EE12" i="3"/>
  <c r="EF12" i="3"/>
  <c r="EG12" i="3"/>
  <c r="EH12" i="3"/>
  <c r="EI12" i="3"/>
  <c r="EJ12" i="3"/>
  <c r="EK12" i="3"/>
  <c r="EL12" i="3"/>
  <c r="EM12" i="3"/>
  <c r="EN12" i="3"/>
  <c r="EO12" i="3"/>
  <c r="EP12" i="3"/>
  <c r="EQ12" i="3"/>
  <c r="ER12" i="3"/>
  <c r="ES12" i="3"/>
  <c r="ET12" i="3"/>
  <c r="EU12" i="3"/>
  <c r="EV12" i="3"/>
  <c r="EW12" i="3"/>
  <c r="EX12" i="3"/>
  <c r="EY12" i="3"/>
  <c r="EZ12" i="3"/>
  <c r="FA12" i="3"/>
  <c r="FB12" i="3"/>
  <c r="FC12" i="3"/>
  <c r="FD12" i="3"/>
  <c r="FE12" i="3"/>
  <c r="FF12" i="3"/>
  <c r="FG12" i="3"/>
  <c r="FH12" i="3"/>
  <c r="FI12" i="3"/>
  <c r="FJ12" i="3"/>
  <c r="FK12" i="3"/>
  <c r="FL12" i="3"/>
  <c r="FM12" i="3"/>
  <c r="FN12" i="3"/>
  <c r="FO12" i="3"/>
  <c r="FP12" i="3"/>
  <c r="FQ12" i="3"/>
  <c r="FR12" i="3"/>
  <c r="FS12" i="3"/>
  <c r="FT12" i="3"/>
  <c r="FU12" i="3"/>
  <c r="FV12" i="3"/>
  <c r="FW12" i="3"/>
  <c r="FX12" i="3"/>
  <c r="FY12" i="3"/>
  <c r="FZ12" i="3"/>
  <c r="GA12" i="3"/>
  <c r="GB12" i="3"/>
  <c r="GC12" i="3"/>
  <c r="GD12" i="3"/>
  <c r="GE12" i="3"/>
  <c r="GF12" i="3"/>
  <c r="GG12" i="3"/>
  <c r="GH12" i="3"/>
  <c r="GI12" i="3"/>
  <c r="GJ12" i="3"/>
  <c r="GK12" i="3"/>
  <c r="GL12" i="3"/>
  <c r="GM12" i="3"/>
  <c r="GN12" i="3"/>
  <c r="GO12" i="3"/>
  <c r="GP12" i="3"/>
  <c r="GQ12" i="3"/>
  <c r="GR12" i="3"/>
  <c r="GS12" i="3"/>
  <c r="GT12" i="3"/>
  <c r="GU12" i="3"/>
  <c r="GV12" i="3"/>
  <c r="GW12" i="3"/>
  <c r="GX12" i="3"/>
  <c r="GY12" i="3"/>
  <c r="GZ12" i="3"/>
  <c r="HA12" i="3"/>
  <c r="HB12" i="3"/>
  <c r="HC12" i="3"/>
  <c r="HD12" i="3"/>
  <c r="HE12" i="3"/>
  <c r="HF12" i="3"/>
  <c r="HG12" i="3"/>
  <c r="HH12" i="3"/>
  <c r="HI12" i="3"/>
  <c r="HJ12" i="3"/>
  <c r="HK12" i="3"/>
  <c r="HL12" i="3"/>
  <c r="HM12" i="3"/>
  <c r="HN12" i="3"/>
  <c r="HO12" i="3"/>
  <c r="HP12" i="3"/>
  <c r="HQ12" i="3"/>
  <c r="HR12" i="3"/>
  <c r="HS12" i="3"/>
  <c r="HT12" i="3"/>
  <c r="HU12" i="3"/>
  <c r="HV12" i="3"/>
  <c r="HW12" i="3"/>
  <c r="HX12" i="3"/>
  <c r="HY12" i="3"/>
  <c r="HZ12" i="3"/>
  <c r="IA12" i="3"/>
  <c r="IB12" i="3"/>
  <c r="IC12" i="3"/>
  <c r="ID12" i="3"/>
  <c r="IE12" i="3"/>
  <c r="IF12" i="3"/>
  <c r="IG12" i="3"/>
  <c r="IH12" i="3"/>
  <c r="II12" i="3"/>
  <c r="IJ12" i="3"/>
  <c r="IK12" i="3"/>
  <c r="IL12" i="3"/>
  <c r="IM12" i="3"/>
  <c r="IN12" i="3"/>
  <c r="IO12" i="3"/>
  <c r="IP12" i="3"/>
  <c r="IQ12" i="3"/>
  <c r="IR12" i="3"/>
  <c r="IS12" i="3"/>
  <c r="IT12" i="3"/>
  <c r="IU12" i="3"/>
  <c r="IV12" i="3"/>
  <c r="A11" i="3"/>
  <c r="B11"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P11" i="3"/>
  <c r="EQ11" i="3"/>
  <c r="ER11" i="3"/>
  <c r="ES11" i="3"/>
  <c r="ET11" i="3"/>
  <c r="EU11" i="3"/>
  <c r="EV11" i="3"/>
  <c r="EW11" i="3"/>
  <c r="EX11" i="3"/>
  <c r="EY11" i="3"/>
  <c r="EZ11" i="3"/>
  <c r="FA11" i="3"/>
  <c r="FB11" i="3"/>
  <c r="FC11" i="3"/>
  <c r="FD11" i="3"/>
  <c r="FE11" i="3"/>
  <c r="FF11" i="3"/>
  <c r="FG11" i="3"/>
  <c r="FH11" i="3"/>
  <c r="FI11" i="3"/>
  <c r="FJ11" i="3"/>
  <c r="FK11" i="3"/>
  <c r="FL11" i="3"/>
  <c r="FM11" i="3"/>
  <c r="FN11" i="3"/>
  <c r="FO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IN11" i="3"/>
  <c r="IO11" i="3"/>
  <c r="IP11" i="3"/>
  <c r="IQ11" i="3"/>
  <c r="IR11" i="3"/>
  <c r="IS11" i="3"/>
  <c r="IT11" i="3"/>
  <c r="IU11" i="3"/>
  <c r="IV11" i="3"/>
  <c r="A10" i="3"/>
  <c r="B10"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FK10" i="3"/>
  <c r="FL10" i="3"/>
  <c r="FM10" i="3"/>
  <c r="FN10" i="3"/>
  <c r="FO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IN10" i="3"/>
  <c r="IO10" i="3"/>
  <c r="IP10" i="3"/>
  <c r="IQ10" i="3"/>
  <c r="IR10" i="3"/>
  <c r="IS10" i="3"/>
  <c r="IT10" i="3"/>
  <c r="IU10" i="3"/>
  <c r="IV10" i="3"/>
  <c r="A9" i="3"/>
  <c r="B9"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CH9" i="3"/>
  <c r="CI9" i="3"/>
  <c r="CJ9" i="3"/>
  <c r="CK9" i="3"/>
  <c r="CL9" i="3"/>
  <c r="CM9" i="3"/>
  <c r="CN9" i="3"/>
  <c r="CO9" i="3"/>
  <c r="CP9" i="3"/>
  <c r="CQ9" i="3"/>
  <c r="CR9" i="3"/>
  <c r="CS9" i="3"/>
  <c r="CT9" i="3"/>
  <c r="CU9" i="3"/>
  <c r="CV9" i="3"/>
  <c r="CW9" i="3"/>
  <c r="CX9" i="3"/>
  <c r="CY9" i="3"/>
  <c r="CZ9" i="3"/>
  <c r="DA9" i="3"/>
  <c r="DB9" i="3"/>
  <c r="DC9" i="3"/>
  <c r="DD9" i="3"/>
  <c r="DE9" i="3"/>
  <c r="DF9" i="3"/>
  <c r="DG9" i="3"/>
  <c r="DH9" i="3"/>
  <c r="DI9" i="3"/>
  <c r="DJ9" i="3"/>
  <c r="DK9" i="3"/>
  <c r="DL9" i="3"/>
  <c r="DM9" i="3"/>
  <c r="DN9" i="3"/>
  <c r="DO9" i="3"/>
  <c r="DP9" i="3"/>
  <c r="DQ9" i="3"/>
  <c r="DR9" i="3"/>
  <c r="DS9" i="3"/>
  <c r="DT9" i="3"/>
  <c r="DU9" i="3"/>
  <c r="DV9" i="3"/>
  <c r="DW9" i="3"/>
  <c r="DX9" i="3"/>
  <c r="DY9" i="3"/>
  <c r="DZ9" i="3"/>
  <c r="EA9" i="3"/>
  <c r="EB9" i="3"/>
  <c r="EC9" i="3"/>
  <c r="ED9" i="3"/>
  <c r="EE9" i="3"/>
  <c r="EF9" i="3"/>
  <c r="EG9" i="3"/>
  <c r="EH9" i="3"/>
  <c r="EI9" i="3"/>
  <c r="EJ9" i="3"/>
  <c r="EK9" i="3"/>
  <c r="EL9" i="3"/>
  <c r="EM9" i="3"/>
  <c r="EN9" i="3"/>
  <c r="EO9" i="3"/>
  <c r="EP9" i="3"/>
  <c r="EQ9" i="3"/>
  <c r="ER9" i="3"/>
  <c r="ES9" i="3"/>
  <c r="ET9" i="3"/>
  <c r="EU9" i="3"/>
  <c r="EV9" i="3"/>
  <c r="EW9" i="3"/>
  <c r="EX9" i="3"/>
  <c r="EY9" i="3"/>
  <c r="EZ9" i="3"/>
  <c r="FA9" i="3"/>
  <c r="FB9" i="3"/>
  <c r="FC9" i="3"/>
  <c r="FD9" i="3"/>
  <c r="FE9" i="3"/>
  <c r="FF9" i="3"/>
  <c r="FG9" i="3"/>
  <c r="FH9" i="3"/>
  <c r="FI9" i="3"/>
  <c r="FJ9" i="3"/>
  <c r="FK9" i="3"/>
  <c r="FL9" i="3"/>
  <c r="FM9" i="3"/>
  <c r="FN9" i="3"/>
  <c r="FO9" i="3"/>
  <c r="FP9" i="3"/>
  <c r="FQ9" i="3"/>
  <c r="FR9" i="3"/>
  <c r="FS9" i="3"/>
  <c r="FT9" i="3"/>
  <c r="FU9" i="3"/>
  <c r="FV9" i="3"/>
  <c r="FW9" i="3"/>
  <c r="FX9" i="3"/>
  <c r="FY9" i="3"/>
  <c r="FZ9" i="3"/>
  <c r="GA9" i="3"/>
  <c r="GB9" i="3"/>
  <c r="GC9" i="3"/>
  <c r="GD9" i="3"/>
  <c r="GE9" i="3"/>
  <c r="GF9" i="3"/>
  <c r="GG9" i="3"/>
  <c r="GH9" i="3"/>
  <c r="GI9" i="3"/>
  <c r="GJ9" i="3"/>
  <c r="GK9" i="3"/>
  <c r="GL9" i="3"/>
  <c r="GM9" i="3"/>
  <c r="GN9" i="3"/>
  <c r="GO9" i="3"/>
  <c r="GP9" i="3"/>
  <c r="GQ9" i="3"/>
  <c r="GR9" i="3"/>
  <c r="GS9" i="3"/>
  <c r="GT9" i="3"/>
  <c r="GU9" i="3"/>
  <c r="GV9" i="3"/>
  <c r="GW9" i="3"/>
  <c r="GX9" i="3"/>
  <c r="GY9" i="3"/>
  <c r="GZ9" i="3"/>
  <c r="HA9" i="3"/>
  <c r="HB9" i="3"/>
  <c r="HC9" i="3"/>
  <c r="HD9" i="3"/>
  <c r="HE9" i="3"/>
  <c r="HF9" i="3"/>
  <c r="HG9" i="3"/>
  <c r="HH9" i="3"/>
  <c r="HI9" i="3"/>
  <c r="HJ9" i="3"/>
  <c r="HK9" i="3"/>
  <c r="HL9" i="3"/>
  <c r="HM9" i="3"/>
  <c r="HN9" i="3"/>
  <c r="HO9" i="3"/>
  <c r="HP9" i="3"/>
  <c r="HQ9" i="3"/>
  <c r="HR9" i="3"/>
  <c r="HS9" i="3"/>
  <c r="HT9" i="3"/>
  <c r="HU9" i="3"/>
  <c r="HV9" i="3"/>
  <c r="HW9" i="3"/>
  <c r="HX9" i="3"/>
  <c r="HY9" i="3"/>
  <c r="HZ9" i="3"/>
  <c r="IA9" i="3"/>
  <c r="IB9" i="3"/>
  <c r="IC9" i="3"/>
  <c r="ID9" i="3"/>
  <c r="IE9" i="3"/>
  <c r="IF9" i="3"/>
  <c r="IG9" i="3"/>
  <c r="IH9" i="3"/>
  <c r="II9" i="3"/>
  <c r="IJ9" i="3"/>
  <c r="IK9" i="3"/>
  <c r="IL9" i="3"/>
  <c r="IM9" i="3"/>
  <c r="IN9" i="3"/>
  <c r="IO9" i="3"/>
  <c r="IP9" i="3"/>
  <c r="IQ9" i="3"/>
  <c r="IR9" i="3"/>
  <c r="IS9" i="3"/>
  <c r="IT9" i="3"/>
  <c r="IU9" i="3"/>
  <c r="IV9" i="3"/>
  <c r="A8" i="3"/>
  <c r="B8"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CH8" i="3"/>
  <c r="CI8" i="3"/>
  <c r="CJ8" i="3"/>
  <c r="CK8" i="3"/>
  <c r="CL8" i="3"/>
  <c r="CM8" i="3"/>
  <c r="CN8" i="3"/>
  <c r="CO8" i="3"/>
  <c r="CP8" i="3"/>
  <c r="CQ8" i="3"/>
  <c r="CR8" i="3"/>
  <c r="CS8" i="3"/>
  <c r="CT8" i="3"/>
  <c r="CU8" i="3"/>
  <c r="CV8" i="3"/>
  <c r="CW8" i="3"/>
  <c r="CX8" i="3"/>
  <c r="CY8" i="3"/>
  <c r="CZ8" i="3"/>
  <c r="DA8" i="3"/>
  <c r="DB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EE8" i="3"/>
  <c r="EF8" i="3"/>
  <c r="EG8" i="3"/>
  <c r="EH8" i="3"/>
  <c r="EI8" i="3"/>
  <c r="EJ8" i="3"/>
  <c r="EK8" i="3"/>
  <c r="EL8" i="3"/>
  <c r="EM8" i="3"/>
  <c r="EN8" i="3"/>
  <c r="EO8" i="3"/>
  <c r="EP8" i="3"/>
  <c r="EQ8" i="3"/>
  <c r="ER8" i="3"/>
  <c r="ES8" i="3"/>
  <c r="ET8" i="3"/>
  <c r="EU8" i="3"/>
  <c r="EV8" i="3"/>
  <c r="EW8" i="3"/>
  <c r="EX8" i="3"/>
  <c r="EY8" i="3"/>
  <c r="EZ8" i="3"/>
  <c r="FA8" i="3"/>
  <c r="FB8" i="3"/>
  <c r="FC8" i="3"/>
  <c r="FD8" i="3"/>
  <c r="FE8" i="3"/>
  <c r="FF8" i="3"/>
  <c r="FG8" i="3"/>
  <c r="FH8" i="3"/>
  <c r="FI8" i="3"/>
  <c r="FJ8" i="3"/>
  <c r="FK8" i="3"/>
  <c r="FL8" i="3"/>
  <c r="FM8" i="3"/>
  <c r="FN8" i="3"/>
  <c r="FO8" i="3"/>
  <c r="FP8" i="3"/>
  <c r="FQ8" i="3"/>
  <c r="FR8" i="3"/>
  <c r="FS8" i="3"/>
  <c r="FT8" i="3"/>
  <c r="FU8" i="3"/>
  <c r="FV8" i="3"/>
  <c r="FW8" i="3"/>
  <c r="FX8" i="3"/>
  <c r="FY8" i="3"/>
  <c r="FZ8" i="3"/>
  <c r="GA8" i="3"/>
  <c r="GB8" i="3"/>
  <c r="GC8" i="3"/>
  <c r="GD8" i="3"/>
  <c r="GE8" i="3"/>
  <c r="GF8" i="3"/>
  <c r="GG8" i="3"/>
  <c r="GH8" i="3"/>
  <c r="GI8" i="3"/>
  <c r="GJ8" i="3"/>
  <c r="GK8" i="3"/>
  <c r="GL8" i="3"/>
  <c r="GM8" i="3"/>
  <c r="GN8" i="3"/>
  <c r="GO8" i="3"/>
  <c r="GP8" i="3"/>
  <c r="GQ8" i="3"/>
  <c r="GR8" i="3"/>
  <c r="GS8" i="3"/>
  <c r="GT8" i="3"/>
  <c r="GU8" i="3"/>
  <c r="GV8" i="3"/>
  <c r="GW8" i="3"/>
  <c r="GX8" i="3"/>
  <c r="GY8" i="3"/>
  <c r="GZ8" i="3"/>
  <c r="HA8" i="3"/>
  <c r="HB8" i="3"/>
  <c r="HC8" i="3"/>
  <c r="HD8" i="3"/>
  <c r="HE8" i="3"/>
  <c r="HF8" i="3"/>
  <c r="HG8" i="3"/>
  <c r="HH8" i="3"/>
  <c r="HI8" i="3"/>
  <c r="HJ8" i="3"/>
  <c r="HK8" i="3"/>
  <c r="HL8" i="3"/>
  <c r="HM8" i="3"/>
  <c r="HN8" i="3"/>
  <c r="HO8" i="3"/>
  <c r="HP8" i="3"/>
  <c r="HQ8" i="3"/>
  <c r="HR8" i="3"/>
  <c r="HS8" i="3"/>
  <c r="HT8" i="3"/>
  <c r="HU8" i="3"/>
  <c r="HV8" i="3"/>
  <c r="HW8" i="3"/>
  <c r="HX8" i="3"/>
  <c r="HY8" i="3"/>
  <c r="HZ8" i="3"/>
  <c r="IA8" i="3"/>
  <c r="IB8" i="3"/>
  <c r="IC8" i="3"/>
  <c r="ID8" i="3"/>
  <c r="IE8" i="3"/>
  <c r="IF8" i="3"/>
  <c r="IG8" i="3"/>
  <c r="IH8" i="3"/>
  <c r="II8" i="3"/>
  <c r="IJ8" i="3"/>
  <c r="IK8" i="3"/>
  <c r="IL8" i="3"/>
  <c r="IM8" i="3"/>
  <c r="IN8" i="3"/>
  <c r="IO8" i="3"/>
  <c r="IP8" i="3"/>
  <c r="IQ8" i="3"/>
  <c r="IR8" i="3"/>
  <c r="IS8" i="3"/>
  <c r="IT8" i="3"/>
  <c r="IU8" i="3"/>
  <c r="IV8" i="3"/>
  <c r="A7" i="3"/>
  <c r="B7" i="3"/>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CH7" i="3"/>
  <c r="CI7" i="3"/>
  <c r="CJ7" i="3"/>
  <c r="CK7" i="3"/>
  <c r="CL7" i="3"/>
  <c r="CM7" i="3"/>
  <c r="CN7" i="3"/>
  <c r="CO7" i="3"/>
  <c r="CP7" i="3"/>
  <c r="CQ7" i="3"/>
  <c r="CR7" i="3"/>
  <c r="CS7" i="3"/>
  <c r="CT7" i="3"/>
  <c r="CU7" i="3"/>
  <c r="CV7" i="3"/>
  <c r="CW7" i="3"/>
  <c r="CX7" i="3"/>
  <c r="CY7" i="3"/>
  <c r="CZ7" i="3"/>
  <c r="DA7" i="3"/>
  <c r="DB7" i="3"/>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EE7" i="3"/>
  <c r="EF7" i="3"/>
  <c r="EG7" i="3"/>
  <c r="EH7" i="3"/>
  <c r="EI7" i="3"/>
  <c r="EJ7" i="3"/>
  <c r="EK7" i="3"/>
  <c r="EL7" i="3"/>
  <c r="EM7" i="3"/>
  <c r="EN7" i="3"/>
  <c r="EO7" i="3"/>
  <c r="EP7" i="3"/>
  <c r="EQ7" i="3"/>
  <c r="ER7" i="3"/>
  <c r="ES7" i="3"/>
  <c r="ET7" i="3"/>
  <c r="EU7" i="3"/>
  <c r="EV7" i="3"/>
  <c r="EW7" i="3"/>
  <c r="EX7" i="3"/>
  <c r="EY7" i="3"/>
  <c r="EZ7" i="3"/>
  <c r="FA7" i="3"/>
  <c r="FB7" i="3"/>
  <c r="FC7" i="3"/>
  <c r="FD7" i="3"/>
  <c r="FE7" i="3"/>
  <c r="FF7" i="3"/>
  <c r="FG7" i="3"/>
  <c r="FH7" i="3"/>
  <c r="FI7" i="3"/>
  <c r="FJ7" i="3"/>
  <c r="FK7" i="3"/>
  <c r="FL7" i="3"/>
  <c r="FM7" i="3"/>
  <c r="FN7" i="3"/>
  <c r="FO7" i="3"/>
  <c r="FP7" i="3"/>
  <c r="FQ7" i="3"/>
  <c r="FR7" i="3"/>
  <c r="FS7" i="3"/>
  <c r="FT7" i="3"/>
  <c r="FU7" i="3"/>
  <c r="FV7" i="3"/>
  <c r="FW7" i="3"/>
  <c r="FX7" i="3"/>
  <c r="FY7" i="3"/>
  <c r="FZ7" i="3"/>
  <c r="GA7" i="3"/>
  <c r="GB7" i="3"/>
  <c r="GC7" i="3"/>
  <c r="GD7" i="3"/>
  <c r="GE7" i="3"/>
  <c r="GF7" i="3"/>
  <c r="GG7" i="3"/>
  <c r="GH7" i="3"/>
  <c r="GI7" i="3"/>
  <c r="GJ7" i="3"/>
  <c r="GK7" i="3"/>
  <c r="GL7" i="3"/>
  <c r="GM7" i="3"/>
  <c r="GN7" i="3"/>
  <c r="GO7" i="3"/>
  <c r="GP7" i="3"/>
  <c r="GQ7" i="3"/>
  <c r="GR7" i="3"/>
  <c r="GS7" i="3"/>
  <c r="GT7" i="3"/>
  <c r="GU7" i="3"/>
  <c r="GV7" i="3"/>
  <c r="GW7" i="3"/>
  <c r="GX7" i="3"/>
  <c r="GY7" i="3"/>
  <c r="GZ7" i="3"/>
  <c r="HA7" i="3"/>
  <c r="HB7" i="3"/>
  <c r="HC7" i="3"/>
  <c r="HD7" i="3"/>
  <c r="HE7" i="3"/>
  <c r="HF7" i="3"/>
  <c r="HG7" i="3"/>
  <c r="HH7" i="3"/>
  <c r="HI7" i="3"/>
  <c r="HJ7" i="3"/>
  <c r="HK7" i="3"/>
  <c r="HL7" i="3"/>
  <c r="HM7" i="3"/>
  <c r="HN7" i="3"/>
  <c r="HO7" i="3"/>
  <c r="HP7" i="3"/>
  <c r="HQ7" i="3"/>
  <c r="HR7" i="3"/>
  <c r="HS7" i="3"/>
  <c r="HT7" i="3"/>
  <c r="HU7" i="3"/>
  <c r="HV7" i="3"/>
  <c r="HW7" i="3"/>
  <c r="HX7" i="3"/>
  <c r="HY7" i="3"/>
  <c r="HZ7" i="3"/>
  <c r="IA7" i="3"/>
  <c r="IB7" i="3"/>
  <c r="IC7" i="3"/>
  <c r="ID7" i="3"/>
  <c r="IE7" i="3"/>
  <c r="IF7" i="3"/>
  <c r="IG7" i="3"/>
  <c r="IH7" i="3"/>
  <c r="II7" i="3"/>
  <c r="IJ7" i="3"/>
  <c r="IK7" i="3"/>
  <c r="IL7" i="3"/>
  <c r="IM7" i="3"/>
  <c r="IN7" i="3"/>
  <c r="IO7" i="3"/>
  <c r="IP7" i="3"/>
  <c r="IQ7" i="3"/>
  <c r="IR7" i="3"/>
  <c r="IS7" i="3"/>
  <c r="IT7" i="3"/>
  <c r="IU7" i="3"/>
  <c r="IV7" i="3"/>
  <c r="A6" i="3"/>
  <c r="B6"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CH6" i="3"/>
  <c r="CI6" i="3"/>
  <c r="CJ6" i="3"/>
  <c r="CK6" i="3"/>
  <c r="CL6" i="3"/>
  <c r="CM6" i="3"/>
  <c r="CN6" i="3"/>
  <c r="CO6" i="3"/>
  <c r="CP6" i="3"/>
  <c r="CQ6" i="3"/>
  <c r="CR6" i="3"/>
  <c r="CS6" i="3"/>
  <c r="CT6" i="3"/>
  <c r="CU6" i="3"/>
  <c r="CV6" i="3"/>
  <c r="CW6" i="3"/>
  <c r="CX6" i="3"/>
  <c r="CY6" i="3"/>
  <c r="CZ6" i="3"/>
  <c r="DA6" i="3"/>
  <c r="DB6" i="3"/>
  <c r="DC6" i="3"/>
  <c r="DD6" i="3"/>
  <c r="DE6" i="3"/>
  <c r="DF6" i="3"/>
  <c r="DG6" i="3"/>
  <c r="DH6" i="3"/>
  <c r="DI6" i="3"/>
  <c r="DJ6" i="3"/>
  <c r="DK6" i="3"/>
  <c r="DL6" i="3"/>
  <c r="DM6" i="3"/>
  <c r="DN6" i="3"/>
  <c r="DO6" i="3"/>
  <c r="DP6" i="3"/>
  <c r="DQ6" i="3"/>
  <c r="DR6" i="3"/>
  <c r="DS6" i="3"/>
  <c r="DT6" i="3"/>
  <c r="DU6" i="3"/>
  <c r="DV6" i="3"/>
  <c r="DW6" i="3"/>
  <c r="DX6" i="3"/>
  <c r="DY6" i="3"/>
  <c r="DZ6" i="3"/>
  <c r="EA6" i="3"/>
  <c r="EB6" i="3"/>
  <c r="EC6" i="3"/>
  <c r="ED6" i="3"/>
  <c r="EE6" i="3"/>
  <c r="EF6" i="3"/>
  <c r="EG6" i="3"/>
  <c r="EH6" i="3"/>
  <c r="EI6" i="3"/>
  <c r="EJ6" i="3"/>
  <c r="EK6" i="3"/>
  <c r="EL6" i="3"/>
  <c r="EM6" i="3"/>
  <c r="EN6" i="3"/>
  <c r="EO6" i="3"/>
  <c r="EP6" i="3"/>
  <c r="EQ6" i="3"/>
  <c r="ER6" i="3"/>
  <c r="ES6" i="3"/>
  <c r="ET6" i="3"/>
  <c r="EU6" i="3"/>
  <c r="EV6" i="3"/>
  <c r="EW6" i="3"/>
  <c r="EX6" i="3"/>
  <c r="EY6" i="3"/>
  <c r="EZ6" i="3"/>
  <c r="FA6" i="3"/>
  <c r="FB6" i="3"/>
  <c r="FC6" i="3"/>
  <c r="FD6" i="3"/>
  <c r="FE6" i="3"/>
  <c r="FF6" i="3"/>
  <c r="FG6" i="3"/>
  <c r="FH6" i="3"/>
  <c r="FI6" i="3"/>
  <c r="FJ6" i="3"/>
  <c r="FK6" i="3"/>
  <c r="FL6" i="3"/>
  <c r="FM6" i="3"/>
  <c r="FN6" i="3"/>
  <c r="FO6" i="3"/>
  <c r="FP6" i="3"/>
  <c r="FQ6" i="3"/>
  <c r="FR6" i="3"/>
  <c r="FS6" i="3"/>
  <c r="FT6" i="3"/>
  <c r="FU6" i="3"/>
  <c r="FV6" i="3"/>
  <c r="FW6" i="3"/>
  <c r="FX6" i="3"/>
  <c r="FY6" i="3"/>
  <c r="FZ6" i="3"/>
  <c r="GA6" i="3"/>
  <c r="GB6" i="3"/>
  <c r="GC6" i="3"/>
  <c r="GD6" i="3"/>
  <c r="GE6" i="3"/>
  <c r="GF6" i="3"/>
  <c r="GG6" i="3"/>
  <c r="GH6" i="3"/>
  <c r="GI6" i="3"/>
  <c r="GJ6" i="3"/>
  <c r="GK6" i="3"/>
  <c r="GL6" i="3"/>
  <c r="GM6" i="3"/>
  <c r="GN6" i="3"/>
  <c r="GO6" i="3"/>
  <c r="GP6" i="3"/>
  <c r="GQ6" i="3"/>
  <c r="GR6" i="3"/>
  <c r="GS6" i="3"/>
  <c r="GT6" i="3"/>
  <c r="GU6" i="3"/>
  <c r="GV6" i="3"/>
  <c r="GW6" i="3"/>
  <c r="GX6" i="3"/>
  <c r="GY6" i="3"/>
  <c r="GZ6" i="3"/>
  <c r="HA6" i="3"/>
  <c r="HB6" i="3"/>
  <c r="HC6" i="3"/>
  <c r="HD6" i="3"/>
  <c r="HE6" i="3"/>
  <c r="HF6" i="3"/>
  <c r="HG6" i="3"/>
  <c r="HH6" i="3"/>
  <c r="HI6" i="3"/>
  <c r="HJ6" i="3"/>
  <c r="HK6" i="3"/>
  <c r="HL6" i="3"/>
  <c r="HM6" i="3"/>
  <c r="HN6" i="3"/>
  <c r="HO6" i="3"/>
  <c r="HP6" i="3"/>
  <c r="HQ6" i="3"/>
  <c r="HR6" i="3"/>
  <c r="HS6" i="3"/>
  <c r="HT6" i="3"/>
  <c r="HU6" i="3"/>
  <c r="HV6" i="3"/>
  <c r="HW6" i="3"/>
  <c r="HX6" i="3"/>
  <c r="HY6" i="3"/>
  <c r="HZ6" i="3"/>
  <c r="IA6" i="3"/>
  <c r="IB6" i="3"/>
  <c r="IC6" i="3"/>
  <c r="ID6" i="3"/>
  <c r="IE6" i="3"/>
  <c r="IF6" i="3"/>
  <c r="IG6" i="3"/>
  <c r="IH6" i="3"/>
  <c r="II6" i="3"/>
  <c r="IJ6" i="3"/>
  <c r="IK6" i="3"/>
  <c r="IL6" i="3"/>
  <c r="IM6" i="3"/>
  <c r="IN6" i="3"/>
  <c r="IO6" i="3"/>
  <c r="IP6" i="3"/>
  <c r="IQ6" i="3"/>
  <c r="IR6" i="3"/>
  <c r="IS6" i="3"/>
  <c r="IT6" i="3"/>
  <c r="IU6" i="3"/>
  <c r="IV6" i="3"/>
  <c r="A5" i="3"/>
  <c r="B5" i="3"/>
  <c r="C5" i="3"/>
  <c r="D5" i="3"/>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CH5" i="3"/>
  <c r="CI5" i="3"/>
  <c r="CJ5" i="3"/>
  <c r="CK5" i="3"/>
  <c r="CL5" i="3"/>
  <c r="CM5" i="3"/>
  <c r="CN5" i="3"/>
  <c r="CO5" i="3"/>
  <c r="CP5" i="3"/>
  <c r="CQ5" i="3"/>
  <c r="CR5" i="3"/>
  <c r="CS5" i="3"/>
  <c r="CT5" i="3"/>
  <c r="CU5" i="3"/>
  <c r="CV5" i="3"/>
  <c r="CW5" i="3"/>
  <c r="CX5" i="3"/>
  <c r="CY5" i="3"/>
  <c r="CZ5" i="3"/>
  <c r="DA5" i="3"/>
  <c r="DB5" i="3"/>
  <c r="DC5" i="3"/>
  <c r="DD5" i="3"/>
  <c r="DE5" i="3"/>
  <c r="DF5" i="3"/>
  <c r="DG5" i="3"/>
  <c r="DH5" i="3"/>
  <c r="DI5" i="3"/>
  <c r="DJ5" i="3"/>
  <c r="DK5" i="3"/>
  <c r="DL5" i="3"/>
  <c r="DM5" i="3"/>
  <c r="DN5" i="3"/>
  <c r="DO5" i="3"/>
  <c r="DP5" i="3"/>
  <c r="DQ5" i="3"/>
  <c r="DR5" i="3"/>
  <c r="DS5" i="3"/>
  <c r="DT5" i="3"/>
  <c r="DU5" i="3"/>
  <c r="DV5" i="3"/>
  <c r="DW5" i="3"/>
  <c r="DX5" i="3"/>
  <c r="DY5" i="3"/>
  <c r="DZ5" i="3"/>
  <c r="EA5" i="3"/>
  <c r="EB5" i="3"/>
  <c r="EC5" i="3"/>
  <c r="ED5" i="3"/>
  <c r="EE5" i="3"/>
  <c r="EF5" i="3"/>
  <c r="EG5" i="3"/>
  <c r="EH5" i="3"/>
  <c r="EI5" i="3"/>
  <c r="EJ5" i="3"/>
  <c r="EK5" i="3"/>
  <c r="EL5" i="3"/>
  <c r="EM5" i="3"/>
  <c r="EN5" i="3"/>
  <c r="EO5" i="3"/>
  <c r="EP5" i="3"/>
  <c r="EQ5" i="3"/>
  <c r="ER5" i="3"/>
  <c r="ES5" i="3"/>
  <c r="ET5" i="3"/>
  <c r="EU5" i="3"/>
  <c r="EV5" i="3"/>
  <c r="EW5" i="3"/>
  <c r="EX5" i="3"/>
  <c r="EY5" i="3"/>
  <c r="EZ5" i="3"/>
  <c r="FA5" i="3"/>
  <c r="FB5" i="3"/>
  <c r="FC5" i="3"/>
  <c r="FD5" i="3"/>
  <c r="FE5" i="3"/>
  <c r="FF5" i="3"/>
  <c r="FG5" i="3"/>
  <c r="FH5" i="3"/>
  <c r="FI5" i="3"/>
  <c r="FJ5" i="3"/>
  <c r="FK5" i="3"/>
  <c r="FL5" i="3"/>
  <c r="FM5" i="3"/>
  <c r="FN5" i="3"/>
  <c r="FO5" i="3"/>
  <c r="FP5" i="3"/>
  <c r="FQ5" i="3"/>
  <c r="FR5" i="3"/>
  <c r="FS5" i="3"/>
  <c r="FT5" i="3"/>
  <c r="FU5" i="3"/>
  <c r="FV5" i="3"/>
  <c r="FW5" i="3"/>
  <c r="FX5" i="3"/>
  <c r="FY5" i="3"/>
  <c r="FZ5" i="3"/>
  <c r="GA5" i="3"/>
  <c r="GB5" i="3"/>
  <c r="GC5" i="3"/>
  <c r="GD5" i="3"/>
  <c r="GE5" i="3"/>
  <c r="GF5" i="3"/>
  <c r="GG5" i="3"/>
  <c r="GH5" i="3"/>
  <c r="GI5" i="3"/>
  <c r="GJ5" i="3"/>
  <c r="GK5" i="3"/>
  <c r="GL5" i="3"/>
  <c r="GM5" i="3"/>
  <c r="GN5" i="3"/>
  <c r="GO5" i="3"/>
  <c r="GP5" i="3"/>
  <c r="GQ5" i="3"/>
  <c r="GR5" i="3"/>
  <c r="GS5" i="3"/>
  <c r="GT5" i="3"/>
  <c r="GU5" i="3"/>
  <c r="GV5" i="3"/>
  <c r="GW5" i="3"/>
  <c r="GX5" i="3"/>
  <c r="GY5" i="3"/>
  <c r="GZ5" i="3"/>
  <c r="HA5" i="3"/>
  <c r="HB5" i="3"/>
  <c r="HC5" i="3"/>
  <c r="HD5" i="3"/>
  <c r="HE5" i="3"/>
  <c r="HF5" i="3"/>
  <c r="HG5" i="3"/>
  <c r="HH5" i="3"/>
  <c r="HI5" i="3"/>
  <c r="HJ5" i="3"/>
  <c r="HK5" i="3"/>
  <c r="HL5" i="3"/>
  <c r="HM5" i="3"/>
  <c r="HN5" i="3"/>
  <c r="HO5" i="3"/>
  <c r="HP5" i="3"/>
  <c r="HQ5" i="3"/>
  <c r="HR5" i="3"/>
  <c r="HS5" i="3"/>
  <c r="HT5" i="3"/>
  <c r="HU5" i="3"/>
  <c r="HV5" i="3"/>
  <c r="HW5" i="3"/>
  <c r="HX5" i="3"/>
  <c r="HY5" i="3"/>
  <c r="HZ5" i="3"/>
  <c r="IA5" i="3"/>
  <c r="IB5" i="3"/>
  <c r="IC5" i="3"/>
  <c r="ID5" i="3"/>
  <c r="IE5" i="3"/>
  <c r="IF5" i="3"/>
  <c r="IG5" i="3"/>
  <c r="IH5" i="3"/>
  <c r="II5" i="3"/>
  <c r="IJ5" i="3"/>
  <c r="IK5" i="3"/>
  <c r="IL5" i="3"/>
  <c r="IM5" i="3"/>
  <c r="IN5" i="3"/>
  <c r="IO5" i="3"/>
  <c r="IP5" i="3"/>
  <c r="IQ5" i="3"/>
  <c r="IR5" i="3"/>
  <c r="IS5" i="3"/>
  <c r="IT5" i="3"/>
  <c r="IU5" i="3"/>
  <c r="IV5" i="3"/>
  <c r="A4" i="3"/>
  <c r="B4" i="3"/>
  <c r="C4" i="3"/>
  <c r="D4" i="3"/>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G4" i="3"/>
  <c r="CH4" i="3"/>
  <c r="CI4" i="3"/>
  <c r="CJ4" i="3"/>
  <c r="CK4" i="3"/>
  <c r="CL4" i="3"/>
  <c r="CM4" i="3"/>
  <c r="CN4" i="3"/>
  <c r="CO4" i="3"/>
  <c r="CP4" i="3"/>
  <c r="CQ4" i="3"/>
  <c r="CR4" i="3"/>
  <c r="CS4" i="3"/>
  <c r="CT4" i="3"/>
  <c r="CU4" i="3"/>
  <c r="CV4" i="3"/>
  <c r="CW4" i="3"/>
  <c r="CX4" i="3"/>
  <c r="CY4" i="3"/>
  <c r="CZ4" i="3"/>
  <c r="DA4" i="3"/>
  <c r="DB4" i="3"/>
  <c r="DC4" i="3"/>
  <c r="DD4" i="3"/>
  <c r="DE4" i="3"/>
  <c r="DF4" i="3"/>
  <c r="DG4" i="3"/>
  <c r="DH4" i="3"/>
  <c r="DI4" i="3"/>
  <c r="DJ4" i="3"/>
  <c r="DK4" i="3"/>
  <c r="DL4" i="3"/>
  <c r="DM4" i="3"/>
  <c r="DN4" i="3"/>
  <c r="DO4" i="3"/>
  <c r="DP4" i="3"/>
  <c r="DQ4" i="3"/>
  <c r="DR4" i="3"/>
  <c r="DS4" i="3"/>
  <c r="DT4" i="3"/>
  <c r="DU4" i="3"/>
  <c r="DV4" i="3"/>
  <c r="DW4" i="3"/>
  <c r="DX4" i="3"/>
  <c r="DY4" i="3"/>
  <c r="DZ4" i="3"/>
  <c r="EA4" i="3"/>
  <c r="EB4" i="3"/>
  <c r="EC4" i="3"/>
  <c r="ED4" i="3"/>
  <c r="EE4" i="3"/>
  <c r="EF4" i="3"/>
  <c r="EG4" i="3"/>
  <c r="EH4" i="3"/>
  <c r="EI4" i="3"/>
  <c r="EJ4" i="3"/>
  <c r="EK4" i="3"/>
  <c r="EL4" i="3"/>
  <c r="EM4" i="3"/>
  <c r="EN4" i="3"/>
  <c r="EO4" i="3"/>
  <c r="EP4" i="3"/>
  <c r="EQ4" i="3"/>
  <c r="ER4" i="3"/>
  <c r="ES4" i="3"/>
  <c r="ET4" i="3"/>
  <c r="EU4" i="3"/>
  <c r="EV4" i="3"/>
  <c r="EW4" i="3"/>
  <c r="EX4" i="3"/>
  <c r="EY4" i="3"/>
  <c r="EZ4" i="3"/>
  <c r="FA4" i="3"/>
  <c r="FB4" i="3"/>
  <c r="FC4" i="3"/>
  <c r="FD4" i="3"/>
  <c r="FE4" i="3"/>
  <c r="FF4" i="3"/>
  <c r="FG4" i="3"/>
  <c r="FH4" i="3"/>
  <c r="FI4" i="3"/>
  <c r="FJ4" i="3"/>
  <c r="FK4" i="3"/>
  <c r="FL4" i="3"/>
  <c r="FM4" i="3"/>
  <c r="FN4" i="3"/>
  <c r="FO4" i="3"/>
  <c r="FP4" i="3"/>
  <c r="FQ4" i="3"/>
  <c r="FR4" i="3"/>
  <c r="FS4" i="3"/>
  <c r="FT4" i="3"/>
  <c r="FU4" i="3"/>
  <c r="FV4" i="3"/>
  <c r="FW4" i="3"/>
  <c r="FX4" i="3"/>
  <c r="FY4" i="3"/>
  <c r="FZ4" i="3"/>
  <c r="GA4" i="3"/>
  <c r="GB4" i="3"/>
  <c r="GC4" i="3"/>
  <c r="GD4" i="3"/>
  <c r="GE4" i="3"/>
  <c r="GF4" i="3"/>
  <c r="GG4" i="3"/>
  <c r="GH4" i="3"/>
  <c r="GI4" i="3"/>
  <c r="GJ4" i="3"/>
  <c r="GK4" i="3"/>
  <c r="GL4" i="3"/>
  <c r="GM4" i="3"/>
  <c r="GN4" i="3"/>
  <c r="GO4" i="3"/>
  <c r="GP4" i="3"/>
  <c r="GQ4" i="3"/>
  <c r="GR4" i="3"/>
  <c r="GS4" i="3"/>
  <c r="GT4" i="3"/>
  <c r="GU4" i="3"/>
  <c r="GV4" i="3"/>
  <c r="GW4" i="3"/>
  <c r="GX4" i="3"/>
  <c r="GY4" i="3"/>
  <c r="GZ4" i="3"/>
  <c r="HA4" i="3"/>
  <c r="HB4" i="3"/>
  <c r="HC4" i="3"/>
  <c r="HD4" i="3"/>
  <c r="HE4" i="3"/>
  <c r="HF4" i="3"/>
  <c r="HG4" i="3"/>
  <c r="HH4" i="3"/>
  <c r="HI4" i="3"/>
  <c r="HJ4" i="3"/>
  <c r="HK4" i="3"/>
  <c r="HL4" i="3"/>
  <c r="HM4" i="3"/>
  <c r="HN4" i="3"/>
  <c r="HO4" i="3"/>
  <c r="HP4" i="3"/>
  <c r="HQ4" i="3"/>
  <c r="HR4" i="3"/>
  <c r="HS4" i="3"/>
  <c r="HT4" i="3"/>
  <c r="HU4" i="3"/>
  <c r="HV4" i="3"/>
  <c r="HW4" i="3"/>
  <c r="HX4" i="3"/>
  <c r="HY4" i="3"/>
  <c r="HZ4" i="3"/>
  <c r="IA4" i="3"/>
  <c r="IB4" i="3"/>
  <c r="IC4" i="3"/>
  <c r="ID4" i="3"/>
  <c r="IE4" i="3"/>
  <c r="IF4" i="3"/>
  <c r="IG4" i="3"/>
  <c r="IH4" i="3"/>
  <c r="II4" i="3"/>
  <c r="IJ4" i="3"/>
  <c r="IK4" i="3"/>
  <c r="IL4" i="3"/>
  <c r="IM4" i="3"/>
  <c r="IN4" i="3"/>
  <c r="IO4" i="3"/>
  <c r="IP4" i="3"/>
  <c r="IQ4" i="3"/>
  <c r="IR4" i="3"/>
  <c r="IS4" i="3"/>
  <c r="IT4" i="3"/>
  <c r="IU4" i="3"/>
  <c r="IV4" i="3"/>
  <c r="A3" i="3"/>
  <c r="B3" i="3"/>
  <c r="C3" i="3"/>
  <c r="D3" i="3"/>
  <c r="E3" i="3"/>
  <c r="F3" i="3"/>
  <c r="G3" i="3"/>
  <c r="H3" i="3"/>
  <c r="I3" i="3"/>
  <c r="J3" i="3"/>
  <c r="K3" i="3"/>
  <c r="L3" i="3"/>
  <c r="M3" i="3"/>
  <c r="N3" i="3"/>
  <c r="O3" i="3"/>
  <c r="P3" i="3"/>
  <c r="Q3" i="3"/>
  <c r="R3" i="3"/>
  <c r="S3" i="3"/>
  <c r="T3" i="3"/>
  <c r="U3" i="3"/>
  <c r="V3" i="3"/>
  <c r="W3" i="3"/>
  <c r="X3" i="3"/>
  <c r="Y3" i="3"/>
  <c r="Z3" i="3"/>
  <c r="AA3" i="3"/>
  <c r="AB3" i="3"/>
  <c r="AC3" i="3"/>
  <c r="AD3" i="3"/>
  <c r="AE3" i="3"/>
  <c r="AF3" i="3"/>
  <c r="AG3" i="3"/>
  <c r="AH3" i="3"/>
  <c r="AI3" i="3"/>
  <c r="AJ3" i="3"/>
  <c r="AK3" i="3"/>
  <c r="AL3" i="3"/>
  <c r="AM3" i="3"/>
  <c r="AN3" i="3"/>
  <c r="AO3" i="3"/>
  <c r="AP3" i="3"/>
  <c r="AQ3" i="3"/>
  <c r="AR3" i="3"/>
  <c r="AS3" i="3"/>
  <c r="AT3" i="3"/>
  <c r="AU3" i="3"/>
  <c r="AV3" i="3"/>
  <c r="AW3" i="3"/>
  <c r="AX3" i="3"/>
  <c r="AY3" i="3"/>
  <c r="AZ3" i="3"/>
  <c r="BA3" i="3"/>
  <c r="BB3" i="3"/>
  <c r="BC3" i="3"/>
  <c r="BD3" i="3"/>
  <c r="BE3" i="3"/>
  <c r="BF3" i="3"/>
  <c r="BG3" i="3"/>
  <c r="BH3" i="3"/>
  <c r="BI3" i="3"/>
  <c r="BJ3" i="3"/>
  <c r="BK3" i="3"/>
  <c r="BL3" i="3"/>
  <c r="BM3" i="3"/>
  <c r="BN3" i="3"/>
  <c r="BO3" i="3"/>
  <c r="BP3" i="3"/>
  <c r="BQ3" i="3"/>
  <c r="BR3" i="3"/>
  <c r="BS3" i="3"/>
  <c r="BT3" i="3"/>
  <c r="BU3" i="3"/>
  <c r="BV3" i="3"/>
  <c r="BW3" i="3"/>
  <c r="BX3" i="3"/>
  <c r="BY3" i="3"/>
  <c r="BZ3" i="3"/>
  <c r="CA3" i="3"/>
  <c r="CB3" i="3"/>
  <c r="CC3" i="3"/>
  <c r="CD3" i="3"/>
  <c r="CE3" i="3"/>
  <c r="CF3" i="3"/>
  <c r="CG3" i="3"/>
  <c r="CH3" i="3"/>
  <c r="CI3" i="3"/>
  <c r="CJ3" i="3"/>
  <c r="CK3" i="3"/>
  <c r="CL3" i="3"/>
  <c r="CM3" i="3"/>
  <c r="CN3" i="3"/>
  <c r="CO3" i="3"/>
  <c r="CP3" i="3"/>
  <c r="CQ3" i="3"/>
  <c r="CR3" i="3"/>
  <c r="CS3" i="3"/>
  <c r="CT3" i="3"/>
  <c r="CU3" i="3"/>
  <c r="CV3" i="3"/>
  <c r="CW3" i="3"/>
  <c r="CX3" i="3"/>
  <c r="CY3" i="3"/>
  <c r="CZ3" i="3"/>
  <c r="DA3" i="3"/>
  <c r="DB3" i="3"/>
  <c r="DC3" i="3"/>
  <c r="DD3" i="3"/>
  <c r="DE3" i="3"/>
  <c r="DF3" i="3"/>
  <c r="DG3" i="3"/>
  <c r="DH3" i="3"/>
  <c r="DI3" i="3"/>
  <c r="DJ3" i="3"/>
  <c r="DK3" i="3"/>
  <c r="DL3" i="3"/>
  <c r="DM3" i="3"/>
  <c r="DN3" i="3"/>
  <c r="DO3" i="3"/>
  <c r="DP3" i="3"/>
  <c r="DQ3" i="3"/>
  <c r="DR3" i="3"/>
  <c r="DS3" i="3"/>
  <c r="DT3" i="3"/>
  <c r="DU3" i="3"/>
  <c r="DV3" i="3"/>
  <c r="DW3" i="3"/>
  <c r="DX3" i="3"/>
  <c r="DY3" i="3"/>
  <c r="DZ3" i="3"/>
  <c r="EA3" i="3"/>
  <c r="EB3" i="3"/>
  <c r="EC3" i="3"/>
  <c r="ED3" i="3"/>
  <c r="EE3" i="3"/>
  <c r="EF3" i="3"/>
  <c r="EG3" i="3"/>
  <c r="EH3" i="3"/>
  <c r="EI3" i="3"/>
  <c r="EJ3" i="3"/>
  <c r="EK3" i="3"/>
  <c r="EL3" i="3"/>
  <c r="EM3" i="3"/>
  <c r="EN3" i="3"/>
  <c r="EO3" i="3"/>
  <c r="EP3" i="3"/>
  <c r="EQ3" i="3"/>
  <c r="ER3" i="3"/>
  <c r="ES3" i="3"/>
  <c r="ET3" i="3"/>
  <c r="EU3" i="3"/>
  <c r="EV3" i="3"/>
  <c r="EW3" i="3"/>
  <c r="EX3" i="3"/>
  <c r="EY3" i="3"/>
  <c r="EZ3" i="3"/>
  <c r="FA3" i="3"/>
  <c r="FB3" i="3"/>
  <c r="FC3" i="3"/>
  <c r="FD3" i="3"/>
  <c r="FE3" i="3"/>
  <c r="FF3" i="3"/>
  <c r="FG3" i="3"/>
  <c r="FH3" i="3"/>
  <c r="FI3" i="3"/>
  <c r="FJ3" i="3"/>
  <c r="FK3" i="3"/>
  <c r="FL3" i="3"/>
  <c r="FM3" i="3"/>
  <c r="FN3" i="3"/>
  <c r="FO3" i="3"/>
  <c r="FP3" i="3"/>
  <c r="FQ3" i="3"/>
  <c r="FR3" i="3"/>
  <c r="FS3" i="3"/>
  <c r="FT3" i="3"/>
  <c r="FU3" i="3"/>
  <c r="FV3" i="3"/>
  <c r="FW3" i="3"/>
  <c r="FX3" i="3"/>
  <c r="FY3" i="3"/>
  <c r="FZ3" i="3"/>
  <c r="GA3" i="3"/>
  <c r="GB3" i="3"/>
  <c r="GC3" i="3"/>
  <c r="GD3" i="3"/>
  <c r="GE3" i="3"/>
  <c r="GF3" i="3"/>
  <c r="GG3" i="3"/>
  <c r="GH3" i="3"/>
  <c r="GI3" i="3"/>
  <c r="GJ3" i="3"/>
  <c r="GK3" i="3"/>
  <c r="GL3" i="3"/>
  <c r="GM3" i="3"/>
  <c r="GN3" i="3"/>
  <c r="GO3" i="3"/>
  <c r="GP3" i="3"/>
  <c r="GQ3" i="3"/>
  <c r="GR3" i="3"/>
  <c r="GS3" i="3"/>
  <c r="GT3" i="3"/>
  <c r="GU3" i="3"/>
  <c r="GV3" i="3"/>
  <c r="GW3" i="3"/>
  <c r="GX3" i="3"/>
  <c r="GY3" i="3"/>
  <c r="GZ3" i="3"/>
  <c r="HA3" i="3"/>
  <c r="HB3" i="3"/>
  <c r="HC3" i="3"/>
  <c r="HD3" i="3"/>
  <c r="HE3" i="3"/>
  <c r="HF3" i="3"/>
  <c r="HG3" i="3"/>
  <c r="HH3" i="3"/>
  <c r="HI3" i="3"/>
  <c r="HJ3" i="3"/>
  <c r="HK3" i="3"/>
  <c r="HL3" i="3"/>
  <c r="HM3" i="3"/>
  <c r="HN3" i="3"/>
  <c r="HO3" i="3"/>
  <c r="HP3" i="3"/>
  <c r="HQ3" i="3"/>
  <c r="HR3" i="3"/>
  <c r="HS3" i="3"/>
  <c r="HT3" i="3"/>
  <c r="HU3" i="3"/>
  <c r="HV3" i="3"/>
  <c r="HW3" i="3"/>
  <c r="HX3" i="3"/>
  <c r="HY3" i="3"/>
  <c r="HZ3" i="3"/>
  <c r="IA3" i="3"/>
  <c r="IB3" i="3"/>
  <c r="IC3" i="3"/>
  <c r="ID3" i="3"/>
  <c r="IE3" i="3"/>
  <c r="IF3" i="3"/>
  <c r="IG3" i="3"/>
  <c r="IH3" i="3"/>
  <c r="II3" i="3"/>
  <c r="IJ3" i="3"/>
  <c r="IK3" i="3"/>
  <c r="IL3" i="3"/>
  <c r="IM3" i="3"/>
  <c r="IN3" i="3"/>
  <c r="IO3" i="3"/>
  <c r="IP3" i="3"/>
  <c r="IQ3" i="3"/>
  <c r="IR3" i="3"/>
  <c r="IS3" i="3"/>
  <c r="IT3" i="3"/>
  <c r="IU3" i="3"/>
  <c r="IV3" i="3"/>
  <c r="A2" i="3"/>
  <c r="B2" i="3"/>
  <c r="C2" i="3"/>
  <c r="D2" i="3"/>
  <c r="E2" i="3"/>
  <c r="F2" i="3"/>
  <c r="G2" i="3"/>
  <c r="H2" i="3"/>
  <c r="I2" i="3"/>
  <c r="J2" i="3"/>
  <c r="K2" i="3"/>
  <c r="L2" i="3"/>
  <c r="M2" i="3"/>
  <c r="N2" i="3"/>
  <c r="O2" i="3"/>
  <c r="P2" i="3"/>
  <c r="Q2" i="3"/>
  <c r="R2" i="3"/>
  <c r="S2" i="3"/>
  <c r="T2" i="3"/>
  <c r="U2" i="3"/>
  <c r="V2" i="3"/>
  <c r="W2" i="3"/>
  <c r="X2" i="3"/>
  <c r="Y2" i="3"/>
  <c r="Z2" i="3"/>
  <c r="AA2" i="3"/>
  <c r="AB2" i="3"/>
  <c r="AC2" i="3"/>
  <c r="AD2" i="3"/>
  <c r="AE2" i="3"/>
  <c r="AF2" i="3"/>
  <c r="AG2" i="3"/>
  <c r="AH2" i="3"/>
  <c r="AI2" i="3"/>
  <c r="AJ2" i="3"/>
  <c r="AK2" i="3"/>
  <c r="AL2" i="3"/>
  <c r="AM2" i="3"/>
  <c r="AN2" i="3"/>
  <c r="AO2" i="3"/>
  <c r="AP2" i="3"/>
  <c r="AQ2" i="3"/>
  <c r="AR2" i="3"/>
  <c r="AS2" i="3"/>
  <c r="AT2" i="3"/>
  <c r="AU2" i="3"/>
  <c r="AV2" i="3"/>
  <c r="AW2" i="3"/>
  <c r="AX2" i="3"/>
  <c r="AY2" i="3"/>
  <c r="AZ2" i="3"/>
  <c r="BA2" i="3"/>
  <c r="BB2" i="3"/>
  <c r="BC2" i="3"/>
  <c r="BD2" i="3"/>
  <c r="BE2" i="3"/>
  <c r="BF2" i="3"/>
  <c r="BG2" i="3"/>
  <c r="BH2" i="3"/>
  <c r="BI2" i="3"/>
  <c r="BJ2" i="3"/>
  <c r="BK2" i="3"/>
  <c r="BL2" i="3"/>
  <c r="BM2" i="3"/>
  <c r="BN2" i="3"/>
  <c r="BO2" i="3"/>
  <c r="BP2" i="3"/>
  <c r="BQ2" i="3"/>
  <c r="BR2" i="3"/>
  <c r="BS2" i="3"/>
  <c r="BT2" i="3"/>
  <c r="BU2" i="3"/>
  <c r="BV2" i="3"/>
  <c r="BW2" i="3"/>
  <c r="BX2" i="3"/>
  <c r="BY2" i="3"/>
  <c r="BZ2" i="3"/>
  <c r="CA2" i="3"/>
  <c r="CB2" i="3"/>
  <c r="CC2" i="3"/>
  <c r="CD2" i="3"/>
  <c r="CE2" i="3"/>
  <c r="CF2" i="3"/>
  <c r="CG2" i="3"/>
  <c r="CH2" i="3"/>
  <c r="CI2" i="3"/>
  <c r="CJ2" i="3"/>
  <c r="CK2" i="3"/>
  <c r="CL2" i="3"/>
  <c r="CM2" i="3"/>
  <c r="CN2" i="3"/>
  <c r="CO2" i="3"/>
  <c r="CP2" i="3"/>
  <c r="CQ2" i="3"/>
  <c r="CR2" i="3"/>
  <c r="CS2" i="3"/>
  <c r="CT2" i="3"/>
  <c r="CU2" i="3"/>
  <c r="CV2" i="3"/>
  <c r="CW2" i="3"/>
  <c r="CX2" i="3"/>
  <c r="CY2" i="3"/>
  <c r="CZ2" i="3"/>
  <c r="DA2" i="3"/>
  <c r="DB2" i="3"/>
  <c r="DC2" i="3"/>
  <c r="DD2" i="3"/>
  <c r="DE2" i="3"/>
  <c r="DF2" i="3"/>
  <c r="DG2" i="3"/>
  <c r="DH2" i="3"/>
  <c r="DI2" i="3"/>
  <c r="DJ2" i="3"/>
  <c r="DK2" i="3"/>
  <c r="DL2" i="3"/>
  <c r="DM2" i="3"/>
  <c r="DN2" i="3"/>
  <c r="DO2" i="3"/>
  <c r="DP2" i="3"/>
  <c r="DQ2" i="3"/>
  <c r="DR2" i="3"/>
  <c r="DS2" i="3"/>
  <c r="DT2" i="3"/>
  <c r="DU2" i="3"/>
  <c r="DV2" i="3"/>
  <c r="DW2" i="3"/>
  <c r="DX2" i="3"/>
  <c r="DY2" i="3"/>
  <c r="DZ2" i="3"/>
  <c r="EA2" i="3"/>
  <c r="EB2" i="3"/>
  <c r="EC2" i="3"/>
  <c r="ED2" i="3"/>
  <c r="EE2" i="3"/>
  <c r="EF2" i="3"/>
  <c r="EG2" i="3"/>
  <c r="EH2" i="3"/>
  <c r="EI2" i="3"/>
  <c r="EJ2" i="3"/>
  <c r="EK2" i="3"/>
  <c r="EL2" i="3"/>
  <c r="EM2" i="3"/>
  <c r="EN2" i="3"/>
  <c r="EO2" i="3"/>
  <c r="EP2" i="3"/>
  <c r="EQ2" i="3"/>
  <c r="ER2" i="3"/>
  <c r="ES2" i="3"/>
  <c r="ET2" i="3"/>
  <c r="EU2" i="3"/>
  <c r="EV2" i="3"/>
  <c r="EW2" i="3"/>
  <c r="EX2" i="3"/>
  <c r="EY2" i="3"/>
  <c r="EZ2" i="3"/>
  <c r="FA2" i="3"/>
  <c r="FB2" i="3"/>
  <c r="FC2" i="3"/>
  <c r="FD2" i="3"/>
  <c r="FE2" i="3"/>
  <c r="FF2" i="3"/>
  <c r="FG2" i="3"/>
  <c r="FH2" i="3"/>
  <c r="FI2" i="3"/>
  <c r="FJ2" i="3"/>
  <c r="FK2" i="3"/>
  <c r="FL2" i="3"/>
  <c r="FM2" i="3"/>
  <c r="FN2" i="3"/>
  <c r="FO2" i="3"/>
  <c r="FP2" i="3"/>
  <c r="FQ2" i="3"/>
  <c r="FR2" i="3"/>
  <c r="FS2" i="3"/>
  <c r="FT2" i="3"/>
  <c r="FU2" i="3"/>
  <c r="FV2" i="3"/>
  <c r="FW2" i="3"/>
  <c r="FX2" i="3"/>
  <c r="FY2" i="3"/>
  <c r="FZ2" i="3"/>
  <c r="GA2" i="3"/>
  <c r="GB2" i="3"/>
  <c r="GC2" i="3"/>
  <c r="GD2" i="3"/>
  <c r="GE2" i="3"/>
  <c r="GF2" i="3"/>
  <c r="GG2" i="3"/>
  <c r="GH2" i="3"/>
  <c r="GI2" i="3"/>
  <c r="GJ2" i="3"/>
  <c r="GK2" i="3"/>
  <c r="GL2" i="3"/>
  <c r="GM2" i="3"/>
  <c r="GN2" i="3"/>
  <c r="GO2" i="3"/>
  <c r="GP2" i="3"/>
  <c r="GQ2" i="3"/>
  <c r="GR2" i="3"/>
  <c r="GS2" i="3"/>
  <c r="GT2" i="3"/>
  <c r="GU2" i="3"/>
  <c r="GV2" i="3"/>
  <c r="GW2" i="3"/>
  <c r="GX2" i="3"/>
  <c r="GY2" i="3"/>
  <c r="GZ2" i="3"/>
  <c r="HA2" i="3"/>
  <c r="HB2" i="3"/>
  <c r="HC2" i="3"/>
  <c r="HD2" i="3"/>
  <c r="HE2" i="3"/>
  <c r="HF2" i="3"/>
  <c r="HG2" i="3"/>
  <c r="HH2" i="3"/>
  <c r="HI2" i="3"/>
  <c r="HJ2" i="3"/>
  <c r="HK2" i="3"/>
  <c r="HL2" i="3"/>
  <c r="HM2" i="3"/>
  <c r="HN2" i="3"/>
  <c r="HO2" i="3"/>
  <c r="HP2" i="3"/>
  <c r="HQ2" i="3"/>
  <c r="HR2" i="3"/>
  <c r="HS2" i="3"/>
  <c r="HT2" i="3"/>
  <c r="HU2" i="3"/>
  <c r="HV2" i="3"/>
  <c r="HW2" i="3"/>
  <c r="HX2" i="3"/>
  <c r="HY2" i="3"/>
  <c r="HZ2" i="3"/>
  <c r="IA2" i="3"/>
  <c r="IB2" i="3"/>
  <c r="IC2" i="3"/>
  <c r="ID2" i="3"/>
  <c r="IE2" i="3"/>
  <c r="IF2" i="3"/>
  <c r="IG2" i="3"/>
  <c r="IH2" i="3"/>
  <c r="II2" i="3"/>
  <c r="IJ2" i="3"/>
  <c r="IK2" i="3"/>
  <c r="IL2" i="3"/>
  <c r="IM2" i="3"/>
  <c r="IN2" i="3"/>
  <c r="IO2" i="3"/>
  <c r="IP2" i="3"/>
  <c r="IQ2" i="3"/>
  <c r="IR2" i="3"/>
  <c r="IS2" i="3"/>
  <c r="IT2" i="3"/>
  <c r="IU2" i="3"/>
  <c r="IV2" i="3"/>
  <c r="A1" i="3"/>
  <c r="B1" i="3"/>
  <c r="C1" i="3"/>
  <c r="D1" i="3"/>
  <c r="E1" i="3"/>
  <c r="F1" i="3"/>
  <c r="G1" i="3"/>
  <c r="H1" i="3"/>
  <c r="I1" i="3"/>
  <c r="J1" i="3"/>
  <c r="K1" i="3"/>
  <c r="L1" i="3"/>
  <c r="M1" i="3"/>
  <c r="N1" i="3"/>
  <c r="O1" i="3"/>
  <c r="P1" i="3"/>
  <c r="Q1" i="3"/>
  <c r="R1" i="3"/>
  <c r="S1" i="3"/>
  <c r="T1" i="3"/>
  <c r="U1" i="3"/>
  <c r="V1" i="3"/>
  <c r="W1" i="3"/>
  <c r="X1" i="3"/>
  <c r="Y1" i="3"/>
  <c r="Z1" i="3"/>
  <c r="AA1" i="3"/>
  <c r="AB1" i="3"/>
  <c r="AC1" i="3"/>
  <c r="AD1" i="3"/>
  <c r="AE1" i="3"/>
  <c r="AF1" i="3"/>
  <c r="AG1" i="3"/>
  <c r="AH1" i="3"/>
  <c r="AI1" i="3"/>
  <c r="AJ1" i="3"/>
  <c r="AK1" i="3"/>
  <c r="AL1" i="3"/>
  <c r="AM1" i="3"/>
  <c r="AN1" i="3"/>
  <c r="AO1" i="3"/>
  <c r="AP1" i="3"/>
  <c r="AQ1" i="3"/>
  <c r="AR1" i="3"/>
  <c r="AS1" i="3"/>
  <c r="AT1" i="3"/>
  <c r="AU1" i="3"/>
  <c r="AV1" i="3"/>
  <c r="AW1" i="3"/>
  <c r="AX1" i="3"/>
  <c r="AY1" i="3"/>
  <c r="AZ1" i="3"/>
  <c r="BA1" i="3"/>
  <c r="BB1" i="3"/>
  <c r="BC1" i="3"/>
  <c r="BD1" i="3"/>
  <c r="BE1" i="3"/>
  <c r="BF1" i="3"/>
  <c r="BG1" i="3"/>
  <c r="BH1" i="3"/>
  <c r="BI1" i="3"/>
  <c r="BJ1" i="3"/>
  <c r="BK1" i="3"/>
  <c r="BL1" i="3"/>
  <c r="BM1" i="3"/>
  <c r="BN1" i="3"/>
  <c r="BO1" i="3"/>
  <c r="BP1" i="3"/>
  <c r="BQ1" i="3"/>
  <c r="BR1" i="3"/>
  <c r="BS1" i="3"/>
  <c r="BT1" i="3"/>
  <c r="BU1" i="3"/>
  <c r="BV1" i="3"/>
  <c r="BW1" i="3"/>
  <c r="BX1" i="3"/>
  <c r="BY1" i="3"/>
  <c r="BZ1" i="3"/>
  <c r="CA1" i="3"/>
  <c r="CB1" i="3"/>
  <c r="CC1" i="3"/>
  <c r="CD1" i="3"/>
  <c r="CE1" i="3"/>
  <c r="CF1" i="3"/>
  <c r="CG1" i="3"/>
  <c r="CH1" i="3"/>
  <c r="CI1" i="3"/>
  <c r="CJ1" i="3"/>
  <c r="CK1" i="3"/>
  <c r="CL1" i="3"/>
  <c r="CM1" i="3"/>
  <c r="CN1" i="3"/>
  <c r="CO1" i="3"/>
  <c r="CP1" i="3"/>
  <c r="CQ1" i="3"/>
  <c r="CR1" i="3"/>
  <c r="CS1" i="3"/>
  <c r="CT1" i="3"/>
  <c r="CU1" i="3"/>
  <c r="CV1" i="3"/>
  <c r="CW1" i="3"/>
  <c r="CX1" i="3"/>
  <c r="CY1" i="3"/>
  <c r="CZ1" i="3"/>
  <c r="DA1" i="3"/>
  <c r="DB1" i="3"/>
  <c r="DC1" i="3"/>
  <c r="DD1" i="3"/>
  <c r="DE1" i="3"/>
  <c r="DF1" i="3"/>
  <c r="DG1" i="3"/>
  <c r="DH1" i="3"/>
  <c r="DI1" i="3"/>
  <c r="DJ1" i="3"/>
  <c r="DK1" i="3"/>
  <c r="DL1" i="3"/>
  <c r="DM1" i="3"/>
  <c r="DN1" i="3"/>
  <c r="DO1" i="3"/>
  <c r="DP1" i="3"/>
  <c r="DQ1" i="3"/>
  <c r="DR1" i="3"/>
  <c r="DS1" i="3"/>
  <c r="DT1" i="3"/>
  <c r="DU1" i="3"/>
  <c r="DV1" i="3"/>
  <c r="DW1" i="3"/>
  <c r="DX1" i="3"/>
  <c r="DY1" i="3"/>
  <c r="DZ1" i="3"/>
  <c r="EA1" i="3"/>
  <c r="EB1" i="3"/>
  <c r="EC1" i="3"/>
  <c r="ED1" i="3"/>
  <c r="EE1" i="3"/>
  <c r="EF1" i="3"/>
  <c r="EG1" i="3"/>
  <c r="EH1" i="3"/>
  <c r="EI1" i="3"/>
  <c r="EJ1" i="3"/>
  <c r="EK1" i="3"/>
  <c r="EL1" i="3"/>
  <c r="EM1" i="3"/>
  <c r="EN1" i="3"/>
  <c r="EO1" i="3"/>
  <c r="EP1" i="3"/>
  <c r="EQ1" i="3"/>
  <c r="ER1" i="3"/>
  <c r="ES1" i="3"/>
  <c r="ET1" i="3"/>
  <c r="EU1" i="3"/>
  <c r="EV1" i="3"/>
  <c r="EW1" i="3"/>
  <c r="EX1" i="3"/>
  <c r="EY1" i="3"/>
  <c r="EZ1" i="3"/>
  <c r="FA1" i="3"/>
  <c r="FB1" i="3"/>
  <c r="FC1" i="3"/>
  <c r="FD1" i="3"/>
  <c r="FE1" i="3"/>
  <c r="FF1" i="3"/>
  <c r="FG1" i="3"/>
  <c r="FH1" i="3"/>
  <c r="FI1" i="3"/>
  <c r="FJ1" i="3"/>
  <c r="FK1" i="3"/>
  <c r="FL1" i="3"/>
  <c r="FM1" i="3"/>
  <c r="FN1" i="3"/>
  <c r="FO1" i="3"/>
  <c r="FP1" i="3"/>
  <c r="FQ1" i="3"/>
  <c r="FR1" i="3"/>
  <c r="FS1" i="3"/>
  <c r="FT1" i="3"/>
  <c r="FU1" i="3"/>
  <c r="FV1" i="3"/>
  <c r="FW1" i="3"/>
  <c r="FX1" i="3"/>
  <c r="FY1" i="3"/>
  <c r="FZ1" i="3"/>
  <c r="GA1" i="3"/>
  <c r="GB1" i="3"/>
  <c r="GC1" i="3"/>
  <c r="GD1" i="3"/>
  <c r="GE1" i="3"/>
  <c r="GF1" i="3"/>
  <c r="GG1" i="3"/>
  <c r="GH1" i="3"/>
  <c r="GI1" i="3"/>
  <c r="GJ1" i="3"/>
  <c r="GK1" i="3"/>
  <c r="GL1" i="3"/>
  <c r="GM1" i="3"/>
  <c r="GN1" i="3"/>
  <c r="GO1" i="3"/>
  <c r="GP1" i="3"/>
  <c r="GQ1" i="3"/>
  <c r="GR1" i="3"/>
  <c r="GS1" i="3"/>
  <c r="GT1" i="3"/>
  <c r="GU1" i="3"/>
  <c r="GV1" i="3"/>
  <c r="GW1" i="3"/>
  <c r="GX1" i="3"/>
  <c r="GY1" i="3"/>
  <c r="GZ1" i="3"/>
  <c r="HA1" i="3"/>
  <c r="HB1" i="3"/>
  <c r="HC1" i="3"/>
  <c r="HD1" i="3"/>
  <c r="HE1" i="3"/>
  <c r="HF1" i="3"/>
  <c r="HG1" i="3"/>
  <c r="HH1" i="3"/>
  <c r="HI1" i="3"/>
  <c r="HJ1" i="3"/>
  <c r="HK1" i="3"/>
  <c r="HL1" i="3"/>
  <c r="HM1" i="3"/>
  <c r="HN1" i="3"/>
  <c r="HO1" i="3"/>
  <c r="HP1" i="3"/>
  <c r="HQ1" i="3"/>
  <c r="HR1" i="3"/>
  <c r="HS1" i="3"/>
  <c r="HT1" i="3"/>
  <c r="HU1" i="3"/>
  <c r="HV1" i="3"/>
  <c r="HW1" i="3"/>
  <c r="HX1" i="3"/>
  <c r="HY1" i="3"/>
  <c r="HZ1" i="3"/>
  <c r="IA1" i="3"/>
  <c r="IB1" i="3"/>
  <c r="IC1" i="3"/>
  <c r="ID1" i="3"/>
  <c r="IE1" i="3"/>
  <c r="IF1" i="3"/>
  <c r="IG1" i="3"/>
  <c r="IH1" i="3"/>
  <c r="II1" i="3"/>
  <c r="IJ1" i="3"/>
  <c r="IK1" i="3"/>
  <c r="IL1" i="3"/>
  <c r="IM1" i="3"/>
  <c r="IN1" i="3"/>
  <c r="IO1" i="3"/>
  <c r="IP1" i="3"/>
  <c r="IQ1" i="3"/>
  <c r="IR1" i="3"/>
  <c r="IS1" i="3"/>
  <c r="IT1" i="3"/>
  <c r="IU1" i="3"/>
  <c r="IV1" i="3"/>
</calcChain>
</file>

<file path=xl/sharedStrings.xml><?xml version="1.0" encoding="utf-8"?>
<sst xmlns="http://schemas.openxmlformats.org/spreadsheetml/2006/main" count="5016" uniqueCount="1183">
  <si>
    <t>A</t>
  </si>
  <si>
    <t>Job Processing Stage</t>
  </si>
  <si>
    <t>Category</t>
  </si>
  <si>
    <t>Sub Category</t>
  </si>
  <si>
    <t>Feature Name</t>
  </si>
  <si>
    <t>Description</t>
  </si>
  <si>
    <t>Reference</t>
  </si>
  <si>
    <t>eDiscovery</t>
  </si>
  <si>
    <t>Discovery Options</t>
  </si>
  <si>
    <t>Hash Deduplication</t>
  </si>
  <si>
    <t>Subject</t>
  </si>
  <si>
    <t>Body</t>
  </si>
  <si>
    <t>Recipients</t>
  </si>
  <si>
    <t>From/Author (Can use creation or modification date)</t>
  </si>
  <si>
    <t>Email Date</t>
  </si>
  <si>
    <t>CC</t>
  </si>
  <si>
    <t>Atachment Count</t>
  </si>
  <si>
    <t>BCC</t>
  </si>
  <si>
    <t>Remove or leave Body White Space</t>
  </si>
  <si>
    <t>User Start/End times for Appointment items without a sent date</t>
  </si>
  <si>
    <t>File Extraction</t>
  </si>
  <si>
    <t>Treat email inline images as attachments (or not)</t>
  </si>
  <si>
    <t>Excel</t>
  </si>
  <si>
    <t>Word</t>
  </si>
  <si>
    <t>PowerPoint</t>
  </si>
  <si>
    <t>Email (Outlook File Attach, or Mail File Attach)</t>
  </si>
  <si>
    <t>Visio</t>
  </si>
  <si>
    <t>Package-Embedded Documents</t>
  </si>
  <si>
    <t>Acrobat</t>
  </si>
  <si>
    <t>Other attachments</t>
  </si>
  <si>
    <t>Processing</t>
  </si>
  <si>
    <t>General Options</t>
  </si>
  <si>
    <t>General File Handling</t>
  </si>
  <si>
    <t>OCR any images without text</t>
  </si>
  <si>
    <t>Process .CSV files with Microsoft Excel</t>
  </si>
  <si>
    <t>Process HTML Files with Internet Explore</t>
  </si>
  <si>
    <t>Lotus Notes - Use Legacy Printing</t>
  </si>
  <si>
    <t>Specify Time Zone</t>
  </si>
  <si>
    <t>Email cut off text handling</t>
  </si>
  <si>
    <t>Attempt in Landscape w/ shrink to fit</t>
  </si>
  <si>
    <t>Attempt in Portrait w/ shring to fit</t>
  </si>
  <si>
    <t>Attempt in RTF</t>
  </si>
  <si>
    <t>Attempt in Text</t>
  </si>
  <si>
    <t>Flag and Manually Review</t>
  </si>
  <si>
    <t>Lotus Notes cut off text handling</t>
  </si>
  <si>
    <t>Attempt in Landscape</t>
  </si>
  <si>
    <t>General Color Options</t>
  </si>
  <si>
    <t>Black and White (1 bit)</t>
  </si>
  <si>
    <t>Gray scale (8 bit)</t>
  </si>
  <si>
    <t>256 Color (8 bit)</t>
  </si>
  <si>
    <t>True Color (24 bit)</t>
  </si>
  <si>
    <t>Image Color Depth</t>
  </si>
  <si>
    <t>PDF Color Depth</t>
  </si>
  <si>
    <t>PDF Paper Size</t>
  </si>
  <si>
    <t>AS IS</t>
  </si>
  <si>
    <t>Letter (8.5 x 11 in)</t>
  </si>
  <si>
    <t>Legal (8.5 x 14 in)</t>
  </si>
  <si>
    <t>A3 (297 x420 mm)</t>
  </si>
  <si>
    <t>A4 (210 x 297 mm)</t>
  </si>
  <si>
    <t>A5 (148 x 210 mm)</t>
  </si>
  <si>
    <t>B4 (250 x 354 mm)</t>
  </si>
  <si>
    <t>B5 (182 x 257 mm)</t>
  </si>
  <si>
    <t>9x11</t>
  </si>
  <si>
    <t>10x11</t>
  </si>
  <si>
    <t>10x14</t>
  </si>
  <si>
    <t>11x17</t>
  </si>
  <si>
    <t>EXCEL OPTIONS</t>
  </si>
  <si>
    <t>Do not include headers</t>
  </si>
  <si>
    <t>Do not include footers</t>
  </si>
  <si>
    <t>Reveal hidden columns</t>
  </si>
  <si>
    <t>Reveal hidden rows</t>
  </si>
  <si>
    <t>Unhide worksheets</t>
  </si>
  <si>
    <t>Unhide very hidden worksheets</t>
  </si>
  <si>
    <t>Autofit columns</t>
  </si>
  <si>
    <t>Autofit rows</t>
  </si>
  <si>
    <t>Wrap text</t>
  </si>
  <si>
    <t>Pring gridlines</t>
  </si>
  <si>
    <t>Unhide windows</t>
  </si>
  <si>
    <t>Apply Autofilter</t>
  </si>
  <si>
    <t>No fill color</t>
  </si>
  <si>
    <t>Clear print area</t>
  </si>
  <si>
    <t>Clear print title columns</t>
  </si>
  <si>
    <t>Clear print title rows</t>
  </si>
  <si>
    <t>Display headings</t>
  </si>
  <si>
    <t>Expand Pivot Tables</t>
  </si>
  <si>
    <t>Comments</t>
  </si>
  <si>
    <t>None</t>
  </si>
  <si>
    <t>At end of Sheet</t>
  </si>
  <si>
    <t>As displayed on sheet</t>
  </si>
  <si>
    <t>Color Depth</t>
  </si>
  <si>
    <t>Paper Size</t>
  </si>
  <si>
    <t>Custom (8.5 x 11)</t>
  </si>
  <si>
    <t>Page Order</t>
  </si>
  <si>
    <t>As is</t>
  </si>
  <si>
    <t>Down, then over</t>
  </si>
  <si>
    <t>Over, ten down</t>
  </si>
  <si>
    <t>Orientation</t>
  </si>
  <si>
    <t>Portrait</t>
  </si>
  <si>
    <t>Landscape</t>
  </si>
  <si>
    <t>Scaling</t>
  </si>
  <si>
    <t>Adjust to % size</t>
  </si>
  <si>
    <t>Fit to x page(s) wide and x pages tall</t>
  </si>
  <si>
    <t>Date field handling:</t>
  </si>
  <si>
    <t>Replace with Date Created</t>
  </si>
  <si>
    <t>Replace with date last saved</t>
  </si>
  <si>
    <t>Replace with comments</t>
  </si>
  <si>
    <t>Replace with field code</t>
  </si>
  <si>
    <t>Do not replace</t>
  </si>
  <si>
    <t>Remove</t>
  </si>
  <si>
    <t>Header/Footer Filename field handling:</t>
  </si>
  <si>
    <t>Replace with filename (no path)</t>
  </si>
  <si>
    <t>Replace with file path</t>
  </si>
  <si>
    <t>Center on Page</t>
  </si>
  <si>
    <t>Horizontally</t>
  </si>
  <si>
    <t>Vertically</t>
  </si>
  <si>
    <t>Generate Metadata summary images for each Excel spreadsheet</t>
  </si>
  <si>
    <t>Spreadsheet Metadata Summary Options</t>
  </si>
  <si>
    <t>Document Properties</t>
  </si>
  <si>
    <t>Formulas</t>
  </si>
  <si>
    <t>Linked Content</t>
  </si>
  <si>
    <t>WORD OPTIONS</t>
  </si>
  <si>
    <t>Show Hidden Text (check box)</t>
  </si>
  <si>
    <t>Revisions (pick one)</t>
  </si>
  <si>
    <t>Detail revisions</t>
  </si>
  <si>
    <t>Final copy (hide revisions)</t>
  </si>
  <si>
    <t>Both copies</t>
  </si>
  <si>
    <t>Orientation (pick one)</t>
  </si>
  <si>
    <t>Scale to page (check box)</t>
  </si>
  <si>
    <t>Field Handling</t>
  </si>
  <si>
    <t>Generate metadata summary images for each Word document (checkbox)</t>
  </si>
  <si>
    <t>Document Metadata Summary Options (check boxes)</t>
  </si>
  <si>
    <t>Document properties</t>
  </si>
  <si>
    <t>Revisions</t>
  </si>
  <si>
    <t>Routing slips</t>
  </si>
  <si>
    <t>Linked content</t>
  </si>
  <si>
    <t>POWERPOINT OPTIONS</t>
  </si>
  <si>
    <t>Original Settings (As is) - checkbox</t>
  </si>
  <si>
    <t>Print hidden slides (checkbox)</t>
  </si>
  <si>
    <t>Print comments (checkbox)</t>
  </si>
  <si>
    <t>Frame slides (checkbox)</t>
  </si>
  <si>
    <t>Output type</t>
  </si>
  <si>
    <t>Slides</t>
  </si>
  <si>
    <t>Outline</t>
  </si>
  <si>
    <t>Notes Pages</t>
  </si>
  <si>
    <t>Notes Pages Split</t>
  </si>
  <si>
    <t>Handouts</t>
  </si>
  <si>
    <t>Slide Size</t>
  </si>
  <si>
    <t>Ledger (11 x 17 in)</t>
  </si>
  <si>
    <t>35 mm (11.25 x 7.5 in)</t>
  </si>
  <si>
    <t>Overhead (10 x 7.5 in)</t>
  </si>
  <si>
    <t>Banner (8 x 1 in)</t>
  </si>
  <si>
    <t>10 x 14 in</t>
  </si>
  <si>
    <t>Page Orientation</t>
  </si>
  <si>
    <t>As Is</t>
  </si>
  <si>
    <t>Slide Orientation</t>
  </si>
  <si>
    <t>Hand Outs</t>
  </si>
  <si>
    <t>Slides per page (1 - 9)</t>
  </si>
  <si>
    <t>Order</t>
  </si>
  <si>
    <t>Horizontal</t>
  </si>
  <si>
    <t>Vertical</t>
  </si>
  <si>
    <t>Include linked content summary (checkbox)</t>
  </si>
  <si>
    <t>Headers and Footers</t>
  </si>
  <si>
    <t>SLIDE</t>
  </si>
  <si>
    <t>Date and Time (checkbox)</t>
  </si>
  <si>
    <t>Update Automatically (radio button, drop down)</t>
  </si>
  <si>
    <t>Date Last Saved</t>
  </si>
  <si>
    <t>Date Created</t>
  </si>
  <si>
    <t>Date Format: (drop down)</t>
  </si>
  <si>
    <t>Wednesday, July 25, 2012</t>
  </si>
  <si>
    <t>Fixed (radio button, entry field)</t>
  </si>
  <si>
    <t>Footer (Checkbox, entry field), As Is (checkbox)</t>
  </si>
  <si>
    <t>Slide Number (As is, Show, do not show)</t>
  </si>
  <si>
    <t>Show on title Slide (As is, show, do not show)</t>
  </si>
  <si>
    <t>NOTES and HANDOUTS</t>
  </si>
  <si>
    <t>Header (Checkbox, entry field), As Is (checkbox)</t>
  </si>
  <si>
    <t>Page Number (As is, Show, do not show)</t>
  </si>
  <si>
    <t>Data Extraction</t>
  </si>
  <si>
    <t>Load File Formats</t>
  </si>
  <si>
    <t>Image Load Formats</t>
  </si>
  <si>
    <t>Delimited ASCII Text</t>
  </si>
  <si>
    <t>Custom Export Format</t>
  </si>
  <si>
    <t>IPRO LFP</t>
  </si>
  <si>
    <t>IPRO OCR</t>
  </si>
  <si>
    <t>Summation DII</t>
  </si>
  <si>
    <t>Opticon &amp; TotalVZN (OPT File)</t>
  </si>
  <si>
    <t>Sanction &amp; Trial Director (OLL File)</t>
  </si>
  <si>
    <t>Doculex 3.0 &amp; CaseMap</t>
  </si>
  <si>
    <t>Doculex 5.0</t>
  </si>
  <si>
    <t>Ringtail</t>
  </si>
  <si>
    <t>IPRO DLF</t>
  </si>
  <si>
    <t>Data Load Formats</t>
  </si>
  <si>
    <t>Delmited ASCII Text</t>
  </si>
  <si>
    <t>Summation Text File</t>
  </si>
  <si>
    <t>Concordance DAT</t>
  </si>
  <si>
    <t>LaserFiche (Includeds Image Links)</t>
  </si>
  <si>
    <t>DB/Textworks (Includes Image Links)</t>
  </si>
  <si>
    <t>OCR Control.lst</t>
  </si>
  <si>
    <t>Export Image Files</t>
  </si>
  <si>
    <t>Image Format and Options</t>
  </si>
  <si>
    <t>Single Page TIFF/JPG files</t>
  </si>
  <si>
    <t>Single Page PDF</t>
  </si>
  <si>
    <t>Multiple Page TIFF</t>
  </si>
  <si>
    <t>Multiple Page PDF</t>
  </si>
  <si>
    <t>Convert LZW Images to JTIFF</t>
  </si>
  <si>
    <t>Create searcheable PDF files</t>
  </si>
  <si>
    <t>Make endorsements searchable</t>
  </si>
  <si>
    <t>Convert Fast Web Enable</t>
  </si>
  <si>
    <t>Force Image Canavas to</t>
  </si>
  <si>
    <t>Image Size</t>
  </si>
  <si>
    <t>For small images</t>
  </si>
  <si>
    <t>For large images</t>
  </si>
  <si>
    <t>For small and large images</t>
  </si>
  <si>
    <t>File Export Options</t>
  </si>
  <si>
    <t>File Types</t>
  </si>
  <si>
    <t>(MURARI TO PROVIDE), 
this is done on next sheet tab called Data Extract File Types</t>
  </si>
  <si>
    <t>https://docs.google.com/open?id=0B7MhlCb4PN64Y1F6WjcwTTNkcHM</t>
  </si>
  <si>
    <t>Text File Options</t>
  </si>
  <si>
    <t>Export Text Files</t>
  </si>
  <si>
    <t>Included image key in document text</t>
  </si>
  <si>
    <t>Format</t>
  </si>
  <si>
    <t>Export document as single file</t>
  </si>
  <si>
    <t>Create text placeholders for missing text files</t>
  </si>
  <si>
    <t>Native File options</t>
  </si>
  <si>
    <t>Export Native Files</t>
  </si>
  <si>
    <t>Name file using image key</t>
  </si>
  <si>
    <t>Copy to output directory</t>
  </si>
  <si>
    <t>Email File Options</t>
  </si>
  <si>
    <t>Outlook</t>
  </si>
  <si>
    <t>Lotus Notes</t>
  </si>
  <si>
    <t>Outlook Express</t>
  </si>
  <si>
    <t>GroupWise</t>
  </si>
  <si>
    <t>MHT format</t>
  </si>
  <si>
    <t>Rich Text Format</t>
  </si>
  <si>
    <t>HTML</t>
  </si>
  <si>
    <t>File Extension Options</t>
  </si>
  <si>
    <t>Add Extension only if missing</t>
  </si>
  <si>
    <t>Append corrected extensions</t>
  </si>
  <si>
    <t>Replace incorrect extensions</t>
  </si>
  <si>
    <t>Apply to selected file types and/or QC flags</t>
  </si>
  <si>
    <t>Metadata Options</t>
  </si>
  <si>
    <t>Delimeters</t>
  </si>
  <si>
    <t>Custom Image Load Delimeters</t>
  </si>
  <si>
    <t>Between Fields</t>
  </si>
  <si>
    <t>Around Fields</t>
  </si>
  <si>
    <t>Custom Image Load Field Postion</t>
  </si>
  <si>
    <t>BatesNumber</t>
  </si>
  <si>
    <t>VolumeName</t>
  </si>
  <si>
    <t>FileName</t>
  </si>
  <si>
    <t>PageNumber</t>
  </si>
  <si>
    <t>DocumentFlag</t>
  </si>
  <si>
    <t>Replace Document Flag with "Y"</t>
  </si>
  <si>
    <t>Export Fields</t>
  </si>
  <si>
    <t>All Fields</t>
  </si>
  <si>
    <t>System</t>
  </si>
  <si>
    <t>Flags</t>
  </si>
  <si>
    <t>Metadata</t>
  </si>
  <si>
    <t>User Defined</t>
  </si>
  <si>
    <t>Field Options</t>
  </si>
  <si>
    <t>Populate Child Fields for Parent Documents (checkbox)</t>
  </si>
  <si>
    <t>Include Field Names inf first line of file (checkbox)</t>
  </si>
  <si>
    <t>Export OCRTXT field for Concordance (checkbox, dropdown)</t>
  </si>
  <si>
    <t>v 7.x 4mb, truncate</t>
  </si>
  <si>
    <t>v 8.x 12 mb, truncate</t>
  </si>
  <si>
    <t>v 7.x 4mb, report only</t>
  </si>
  <si>
    <t>v 8.x 12 mb, report only</t>
  </si>
  <si>
    <t>Date Field Formatting Options</t>
  </si>
  <si>
    <t>MURARI TO PROVIDE</t>
  </si>
  <si>
    <t>https://docs.google.com/open?id=0B7MhlCb4PN64djNRUDQ1MmxMelU</t>
  </si>
  <si>
    <t>Legacy Date Field Formatting:</t>
  </si>
  <si>
    <t>By default, this option is selected. 
Deselect this option to select from the Invalid date options and 
to select fields for date format handling</t>
  </si>
  <si>
    <t>Do Not Convert Date Fields (first option under Dropdown box)</t>
  </si>
  <si>
    <t>this is for sysem standard format without other options</t>
  </si>
  <si>
    <t>YYYYMMDD</t>
  </si>
  <si>
    <t>Date Field Formatting: If you want to change the date field to a different 
format, select from the following formats</t>
  </si>
  <si>
    <t>YYYY/MM/DD</t>
  </si>
  <si>
    <t>MMDDYYYY</t>
  </si>
  <si>
    <t>MM/DD/YYYY</t>
  </si>
  <si>
    <t>DD/MM/YYYY</t>
  </si>
  <si>
    <t>Time format [dropdown box]</t>
  </si>
  <si>
    <t>12-hour [displays time in 12 hour format e.g. 1:04]</t>
  </si>
  <si>
    <t>24-hour [displays time in 24 hour format, e.g. 13:04]</t>
  </si>
  <si>
    <t>Regional [formats the time according to the “default” 
Regional Settingsof the Worker the document is being exported on]</t>
  </si>
  <si>
    <t>Resolve Times to Second Precision [checkbox option]</t>
  </si>
  <si>
    <t>Select this option if you want to add seconds 
to all metadata date fields that have time. 
This does not apply to the images</t>
  </si>
  <si>
    <t>Invalid date options</t>
  </si>
  <si>
    <t>Treat date values outside of specified range as invalid dates [checkbox option]</t>
  </si>
  <si>
    <t>Start date (range ex:Monday, January 01, 1753)</t>
  </si>
  <si>
    <t>Any dates outside of the selected range will be considered as invalid dates.
 The start date default is set to SQL minimum date.
The end date default is set to SQL maximum date</t>
  </si>
  <si>
    <t>End date  (range ex:Wednesday, August 08, 2012)</t>
  </si>
  <si>
    <t>Invalid date field output value [Radio button selection]</t>
  </si>
  <si>
    <t>enter text to display in the event an invalid date is encountered.
 This field may be left blank</t>
  </si>
  <si>
    <t>Invalid date field output do not convert [Radio button selection]</t>
  </si>
  <si>
    <t>invalid dates will be outputas a text field</t>
  </si>
  <si>
    <t>Fields Available for Date Format Handling [Box, selection list]</t>
  </si>
  <si>
    <t>Ringtail Export Options</t>
  </si>
  <si>
    <t>Field</t>
  </si>
  <si>
    <t>Field Label</t>
  </si>
  <si>
    <t>Ringtail Type</t>
  </si>
  <si>
    <t>MEMO</t>
  </si>
  <si>
    <t>Text</t>
  </si>
  <si>
    <t>NUMB</t>
  </si>
  <si>
    <t>DATE</t>
  </si>
  <si>
    <t>Exclude all eligigle (Pushbutton) - Fields that are exported in the Parties and Export Table</t>
  </si>
  <si>
    <t>Summation Export Options</t>
  </si>
  <si>
    <t>Path Notation</t>
  </si>
  <si>
    <t>Removable volume (@V)   (radio button), or Direcgory (@I) (radio button)</t>
  </si>
  <si>
    <t>Include @FullText command</t>
  </si>
  <si>
    <t>None, Page Level, Document Level (radio button)</t>
  </si>
  <si>
    <t>Treat email as edocs (checkbox)</t>
  </si>
  <si>
    <t>Available Tokens (dropdown)</t>
  </si>
  <si>
    <t>UserDefined</t>
  </si>
  <si>
    <t>Summation Tokens (MURARI TO PROVIDE)</t>
  </si>
  <si>
    <t>Type (list selection), Filter Value</t>
  </si>
  <si>
    <t>Need to go through iPro wizzard</t>
  </si>
  <si>
    <t>File Formatting</t>
  </si>
  <si>
    <t>Endorsements</t>
  </si>
  <si>
    <t>Font</t>
  </si>
  <si>
    <t>Available Fields</t>
  </si>
  <si>
    <t>Directory Control</t>
  </si>
  <si>
    <t>Specify Directory Export and Options</t>
  </si>
  <si>
    <t>Export Directory Path</t>
  </si>
  <si>
    <t>Export Volume</t>
  </si>
  <si>
    <t>Volume Name</t>
  </si>
  <si>
    <t>Increment output directory every xxxx files</t>
  </si>
  <si>
    <t>Max Data Size in MB</t>
  </si>
  <si>
    <t>Include volume name in loadfile filenames</t>
  </si>
  <si>
    <t>Subdirectory Structure</t>
  </si>
  <si>
    <t>Single-page TIFF</t>
  </si>
  <si>
    <t>Document Text</t>
  </si>
  <si>
    <t>Native File</t>
  </si>
  <si>
    <t>Increment in Root</t>
  </si>
  <si>
    <t>Subdirectory</t>
  </si>
  <si>
    <t>Entryfield</t>
  </si>
  <si>
    <t>Mirror File structure</t>
  </si>
  <si>
    <t>Other Export Options</t>
  </si>
  <si>
    <t>Create load files only</t>
  </si>
  <si>
    <t>OCR LFP Document</t>
  </si>
  <si>
    <t>OI - inline</t>
  </si>
  <si>
    <t>OT - file reference</t>
  </si>
  <si>
    <t>Replace export path with the following drive letter / path</t>
  </si>
  <si>
    <t>Image Key Numbering</t>
  </si>
  <si>
    <t>Prefix, Parent, Document, Page</t>
  </si>
  <si>
    <t>Use filename for image key</t>
  </si>
  <si>
    <t>_</t>
  </si>
  <si>
    <t>-</t>
  </si>
  <si>
    <t>,</t>
  </si>
  <si>
    <t>(space)</t>
  </si>
  <si>
    <t>Bates Numbering</t>
  </si>
  <si>
    <t>Zero-based</t>
  </si>
  <si>
    <t>One-Based</t>
  </si>
  <si>
    <t>Sample Image Key</t>
  </si>
  <si>
    <t>User rollover numbering</t>
  </si>
  <si>
    <t>Encoding options</t>
  </si>
  <si>
    <t>Unicode UTF-16</t>
  </si>
  <si>
    <t>Unicode UTF-8</t>
  </si>
  <si>
    <t>Force ANSI</t>
  </si>
  <si>
    <t>ANSI Replacements</t>
  </si>
  <si>
    <t>(dropdown, MURARI to Provide)</t>
  </si>
  <si>
    <t>Need to go through wizzard</t>
  </si>
  <si>
    <t>Quality Check</t>
  </si>
  <si>
    <t>QC Options</t>
  </si>
  <si>
    <t>JPEG Roate Quality (0-255) (square blank box to enter numbers)</t>
  </si>
  <si>
    <t>Reprocessing (Reprocess time out, Native Reprosess time out settings) with square boxes</t>
  </si>
  <si>
    <t>Auto QC TAB (Image Traversal category)</t>
  </si>
  <si>
    <t>Every Page (radio button)</t>
  </si>
  <si>
    <t>Every Nth Page (2-50) (radio button)</t>
  </si>
  <si>
    <t>First Page (radio button)</t>
  </si>
  <si>
    <t>Time Betwee Pages (10-10000 milliseconds)(radio button)</t>
  </si>
  <si>
    <t>Auto QC TAB (Image Quality)</t>
  </si>
  <si>
    <t>Auto-QC with Low Quality Images</t>
  </si>
  <si>
    <t>Image Quality</t>
  </si>
  <si>
    <t>Identical File Handling</t>
  </si>
  <si>
    <t>Apply output changes to all identical document</t>
  </si>
  <si>
    <t>Default scope</t>
  </si>
  <si>
    <t>Views TAB (Thumbnail View)</t>
  </si>
  <si>
    <t>Thumbnail size</t>
  </si>
  <si>
    <t>Smallest</t>
  </si>
  <si>
    <t>Small</t>
  </si>
  <si>
    <t>Medium</t>
  </si>
  <si>
    <t>Large</t>
  </si>
  <si>
    <t>Largest</t>
  </si>
  <si>
    <t>Views TAB (Native Document View)</t>
  </si>
  <si>
    <t>View Mode</t>
  </si>
  <si>
    <t>Draft</t>
  </si>
  <si>
    <t>Normal</t>
  </si>
  <si>
    <t>Views TAB (Preview)</t>
  </si>
  <si>
    <t>Preview Size</t>
  </si>
  <si>
    <t>Full size</t>
  </si>
  <si>
    <t>Fit to window</t>
  </si>
  <si>
    <t>Fit to window width</t>
  </si>
  <si>
    <t>Saved Options (Options)</t>
  </si>
  <si>
    <t>Save to file</t>
  </si>
  <si>
    <t>Load from file</t>
  </si>
  <si>
    <t>Restore Defaults</t>
  </si>
  <si>
    <t>Saved Options (Layouts)</t>
  </si>
  <si>
    <t>Native File Export Inclusions</t>
  </si>
  <si>
    <t>Main file types supported Categories</t>
  </si>
  <si>
    <t>The below main categories having sub-categories, 
 in seperate Worksheet 
(DATA EXTRACT FEATURES TAB)</t>
  </si>
  <si>
    <t>Database</t>
  </si>
  <si>
    <t>Graphics</t>
  </si>
  <si>
    <t>Groupwise Email</t>
  </si>
  <si>
    <t>Lotus Notes Email</t>
  </si>
  <si>
    <t>Microsoft Excel</t>
  </si>
  <si>
    <t>Microsoft outlook Email</t>
  </si>
  <si>
    <t>Microsoft outlook express Email</t>
  </si>
  <si>
    <t>Microsoft Powerpoint</t>
  </si>
  <si>
    <t>Microsoft Word</t>
  </si>
  <si>
    <t>Other</t>
  </si>
  <si>
    <t>PDF</t>
  </si>
  <si>
    <t>Spreadsheet</t>
  </si>
  <si>
    <t>Unknown</t>
  </si>
  <si>
    <t>Word Processor</t>
  </si>
  <si>
    <t>XML</t>
  </si>
  <si>
    <t>IPro Export</t>
  </si>
  <si>
    <t>Data Export</t>
  </si>
  <si>
    <t>Process Export</t>
  </si>
  <si>
    <t>Export Image Files (checkbox)</t>
  </si>
  <si>
    <t>Image Format and Options (dropdown)</t>
  </si>
  <si>
    <t>Convert LZW Images to JTIFF (checkbox)</t>
  </si>
  <si>
    <t>Create searcheable PDF files (checkbox, enabled by PDF file type dropdown above)</t>
  </si>
  <si>
    <t>Make endorsements searchable (checkbox)</t>
  </si>
  <si>
    <t>Convert Fast Web Enable (checkbox)</t>
  </si>
  <si>
    <t>Force IMage Canavas to</t>
  </si>
  <si>
    <t>[drop down]</t>
  </si>
  <si>
    <t>Supported file types</t>
  </si>
  <si>
    <t>Apply to select file types only (hyperlink with drop down list)
(All file types have been included)</t>
  </si>
  <si>
    <t>Image Normalization Inclusions</t>
  </si>
  <si>
    <t>CEO Decition Base</t>
  </si>
  <si>
    <t>Database 4.x</t>
  </si>
  <si>
    <t>Dbase III</t>
  </si>
  <si>
    <t>Dbase IV or V</t>
  </si>
  <si>
    <t>Framework III</t>
  </si>
  <si>
    <t>Lotus Notes DB</t>
  </si>
  <si>
    <t>Mac Works 2.0 DB</t>
  </si>
  <si>
    <t>Microsoft Access</t>
  </si>
  <si>
    <t>Microsoft Access 7</t>
  </si>
  <si>
    <t>Microsoft Project 2000</t>
  </si>
  <si>
    <t>Microsoft Project 2002</t>
  </si>
  <si>
    <t>Microsoft Project 2007</t>
  </si>
  <si>
    <t>Microsoft Project 2010</t>
  </si>
  <si>
    <t>Microsoft Project 98</t>
  </si>
  <si>
    <t>Microsoft Works DB</t>
  </si>
  <si>
    <t>Paradox</t>
  </si>
  <si>
    <t>Paradox 2 or 3</t>
  </si>
  <si>
    <t>Paradox 3.5</t>
  </si>
  <si>
    <t>Q&amp;A Database</t>
  </si>
  <si>
    <t>R Base 5000</t>
  </si>
  <si>
    <t>R Base File1</t>
  </si>
  <si>
    <t>R Base File 3</t>
  </si>
  <si>
    <t>R Base System V</t>
  </si>
  <si>
    <t>Reflex</t>
  </si>
  <si>
    <t>Smart Database</t>
  </si>
  <si>
    <t>Windows Works 3.0 DB</t>
  </si>
  <si>
    <t>Windows Works 4.0 DB</t>
  </si>
  <si>
    <t>Windows Works  DB</t>
  </si>
  <si>
    <t>Access Snapshot</t>
  </si>
  <si>
    <t>Adobe illustrator</t>
  </si>
  <si>
    <t>Adobe in design</t>
  </si>
  <si>
    <t>Adobe Photoshop</t>
  </si>
  <si>
    <t>AI9 uses the PDF filter</t>
  </si>
  <si>
    <t>Ami Draw</t>
  </si>
  <si>
    <t>Ami internal snap shot</t>
  </si>
  <si>
    <t>AutoCAD Drawing 12</t>
  </si>
  <si>
    <t>AutoCAD Drawing 13</t>
  </si>
  <si>
    <t>AutoCAD Drawing 2008</t>
  </si>
  <si>
    <t>AutoCAD DXB</t>
  </si>
  <si>
    <t>AutoCAD DXF (ADCII)</t>
  </si>
  <si>
    <t>AutoCAD DXF (Binary)</t>
  </si>
  <si>
    <t>AutoCADDWG</t>
  </si>
  <si>
    <t>AutoCADDWG10</t>
  </si>
  <si>
    <t>AutoCADDWG14</t>
  </si>
  <si>
    <t>AutoCADDWG2000</t>
  </si>
  <si>
    <t>AutoCADDWG2D O T5</t>
  </si>
  <si>
    <t>AutoCADDWG2D O T6</t>
  </si>
  <si>
    <t>AutoCADDWG9</t>
  </si>
  <si>
    <t>Autodesk DWF</t>
  </si>
  <si>
    <t>Autoshare Rendering</t>
  </si>
  <si>
    <t>'Bentley Microstation DGN</t>
  </si>
  <si>
    <t>Bitmap enbedded in a PICT file</t>
  </si>
  <si>
    <t>Bitmap enbedded in a WPG1 file</t>
  </si>
  <si>
    <t>Bitmap enbedded in a WPG2 file</t>
  </si>
  <si>
    <t>Bitmap enbedded in another format handled by GDSF</t>
  </si>
  <si>
    <t>Bitmap enbedded in Excel with just BITMAPCOREINFO as aheader</t>
  </si>
  <si>
    <t>Bitmap w/o BITMAPFILEHEADER in WKS</t>
  </si>
  <si>
    <t>Black &amp; White Bitmap embedded in interleaf</t>
  </si>
  <si>
    <t>BMP5</t>
  </si>
  <si>
    <t>Candy 4</t>
  </si>
  <si>
    <t>CCITT Group 3 Fax</t>
  </si>
  <si>
    <t>CGM Graphic Metafile</t>
  </si>
  <si>
    <t>Color Bitmap embedded in Interleaf</t>
  </si>
  <si>
    <t>Compuserve GIF</t>
  </si>
  <si>
    <t>Corel Draw 10</t>
  </si>
  <si>
    <t>Corel Draw 11</t>
  </si>
  <si>
    <t>Corel Draw 12.0</t>
  </si>
  <si>
    <t>Corel Draw 2.0</t>
  </si>
  <si>
    <t>Corel Draw 3.0</t>
  </si>
  <si>
    <t>Corel Draw 4.0</t>
  </si>
  <si>
    <t>Corel Draw 5.0</t>
  </si>
  <si>
    <t>Corel Draw 6.0</t>
  </si>
  <si>
    <t>Corel Draw 7.0</t>
  </si>
  <si>
    <t>Corel Presentations 7.0/8.0</t>
  </si>
  <si>
    <t>Corel Presentations X4</t>
  </si>
  <si>
    <t>CorelDraw 8</t>
  </si>
  <si>
    <t>CorelDraw 9</t>
  </si>
  <si>
    <t>CorelDraw ClipArt</t>
  </si>
  <si>
    <t>DESIGNER7</t>
  </si>
  <si>
    <t>eFax document</t>
  </si>
  <si>
    <t>Enhanced Windows Metafile</t>
  </si>
  <si>
    <t>EPS (TIFF Header)</t>
  </si>
  <si>
    <t>ESCHER</t>
  </si>
  <si>
    <t>Excel 2.x Chart</t>
  </si>
  <si>
    <t>Excel 3.0 Chart</t>
  </si>
  <si>
    <t>Excel 4.0 Chart</t>
  </si>
  <si>
    <t>Excel 5.0/7.0 Chart</t>
  </si>
  <si>
    <t>FI_AUTOCADDWG2004</t>
  </si>
  <si>
    <t>FI_AUTOCADDWG2007</t>
  </si>
  <si>
    <t>FrameMaker</t>
  </si>
  <si>
    <t>Freelance</t>
  </si>
  <si>
    <t>Freelance 96</t>
  </si>
  <si>
    <t>GEM Image</t>
  </si>
  <si>
    <t>GP4, CALS Raster File Format</t>
  </si>
  <si>
    <t>Graphics Data Format</t>
  </si>
  <si>
    <t>Hanako 1.x</t>
  </si>
  <si>
    <t>Hanako 2.x</t>
  </si>
  <si>
    <t>Harvard 2.0 Chart</t>
  </si>
  <si>
    <t>Harvard 3.0 Chart</t>
  </si>
  <si>
    <t>Harvard 3.0 Presentation</t>
  </si>
  <si>
    <t>Harvard Graphics for Windows</t>
  </si>
  <si>
    <t>HP Gallery</t>
  </si>
  <si>
    <t>HP Graphics Language</t>
  </si>
  <si>
    <t>IBM Lotus Symphony Presentation</t>
  </si>
  <si>
    <t>IBM Picture Interchange Format</t>
  </si>
  <si>
    <t>ICF</t>
  </si>
  <si>
    <t>IGES Drawing File Format</t>
  </si>
  <si>
    <t>JBIG2 - embeddings only</t>
  </si>
  <si>
    <t>JPEG 2000</t>
  </si>
  <si>
    <t>Star Office Draw 9</t>
  </si>
  <si>
    <t>Star Office Impress 9</t>
  </si>
  <si>
    <t>StarOffice Draw 6 &amp; 7</t>
  </si>
  <si>
    <t>StarOffice Draw 8</t>
  </si>
  <si>
    <t>StarOffice Impress 5.2</t>
  </si>
  <si>
    <t>StarOffice Impress 6 &amp; 7</t>
  </si>
  <si>
    <t>StarOffice Impress 8</t>
  </si>
  <si>
    <t>StarView Metafile</t>
  </si>
  <si>
    <t>SNAPSHOTTEXT</t>
  </si>
  <si>
    <t>Tagged Image File Format</t>
  </si>
  <si>
    <t>TargaEXPORTIMAGE</t>
  </si>
  <si>
    <t>Visio 2003</t>
  </si>
  <si>
    <t>VISIO3</t>
  </si>
  <si>
    <t>VISIO4</t>
  </si>
  <si>
    <t>Visio 5</t>
  </si>
  <si>
    <t>Visio 6</t>
  </si>
  <si>
    <t>Windows 98/2000 Bitmap GEM</t>
  </si>
  <si>
    <t>Windows Bitmap</t>
  </si>
  <si>
    <t>Windows Cursor</t>
  </si>
  <si>
    <t>Windows Icon</t>
  </si>
  <si>
    <t>Windows Metafile</t>
  </si>
  <si>
    <t>Word for Windows 6 internal metafile WITH metfilepict header</t>
  </si>
  <si>
    <t>Word for Windows internal metafile</t>
  </si>
  <si>
    <t>Word for Windows internal metafile bitmap</t>
  </si>
  <si>
    <t>Word internal snap shoot</t>
  </si>
  <si>
    <t>WordPerfect Graphic</t>
  </si>
  <si>
    <t>WordPerfect Graphic 2</t>
  </si>
  <si>
    <t>WordPerfect Graphic 7.0/8.0</t>
  </si>
  <si>
    <t>WordPerfect internal WPG, no headers</t>
  </si>
  <si>
    <t>WordPerfect Presentations</t>
  </si>
  <si>
    <t>WPG10</t>
  </si>
  <si>
    <t>WPINFORMS1</t>
  </si>
  <si>
    <t>XML Visio</t>
  </si>
  <si>
    <t>X-Windows Bitmap</t>
  </si>
  <si>
    <t>X-Windows Dump</t>
  </si>
  <si>
    <t>X-Windows Pixmap</t>
  </si>
  <si>
    <t>GroupWise E-Mail</t>
  </si>
  <si>
    <t>GroupWise Appointment</t>
  </si>
  <si>
    <t>GroupWise File</t>
  </si>
  <si>
    <t>GroupWise Mail</t>
  </si>
  <si>
    <t>GroupWise message in XML format</t>
  </si>
  <si>
    <t>GroupWise Note</t>
  </si>
  <si>
    <t>HTML</t>
  </si>
  <si>
    <t>Arabic HTML ASMO-708</t>
  </si>
  <si>
    <t>Arabic HTML DOS OEM 720 TRANSPARENT ASMO</t>
  </si>
  <si>
    <t>Arabic HTML ISO 8859-6</t>
  </si>
  <si>
    <t>Arabic HTML Mac</t>
  </si>
  <si>
    <t>Arabic HTML Windows ANSI 1256</t>
  </si>
  <si>
    <t>Baltic HTML ISO 8859-4</t>
  </si>
  <si>
    <t>Baltic HTML Windows ANSI 1257</t>
  </si>
  <si>
    <t>Central European HTML DOS OEM 852 Latin II</t>
  </si>
  <si>
    <t>Central European HTML ISO 8859-2</t>
  </si>
  <si>
    <t>Central European HTML Mac</t>
  </si>
  <si>
    <t>Central European HTML Windows ANSI 1250</t>
  </si>
  <si>
    <t>Chinese Simplified HTML EUC</t>
  </si>
  <si>
    <t>Chinese Simplified HTML WindowsANSI 936 (GB2312)</t>
  </si>
  <si>
    <t>Chinese Traditional HTML Windows ANSI 950 (BIG5)</t>
  </si>
  <si>
    <t>CHTML</t>
  </si>
  <si>
    <t>Cyrillic HTML DOS OEM 855</t>
  </si>
  <si>
    <t>Cyrillic HTML ISO 8859-5</t>
  </si>
  <si>
    <t>Cyrillic HTML KOI8-R</t>
  </si>
  <si>
    <t>Cyrillic HTML Mac</t>
  </si>
  <si>
    <t>Cyrillic HTML Windows ANSI 1251</t>
  </si>
  <si>
    <t>Excel 2000 HTML</t>
  </si>
  <si>
    <t>Greek HTML ISO 8859-7</t>
  </si>
  <si>
    <t>Greek HTML Mac</t>
  </si>
  <si>
    <t>Greek HTML Windows ANSI 1253</t>
  </si>
  <si>
    <t>HDML</t>
  </si>
  <si>
    <t>Hebrew HTML DOS OEM 862</t>
  </si>
  <si>
    <t>Hebrew HTML ISO 8859-8</t>
  </si>
  <si>
    <t>Hebrew HTML Windows ANSI 1255</t>
  </si>
  <si>
    <t>HTML - Central European</t>
  </si>
  <si>
    <t>HTML - Chinese (Big5)</t>
  </si>
  <si>
    <t>HTML - Chinese (EUC)</t>
  </si>
  <si>
    <t>HTML - Chinese (GB)</t>
  </si>
  <si>
    <t>HTML - Cyrillic (ANSI 1251)</t>
  </si>
  <si>
    <t>HTML - Cyrillic (KOI8-R)</t>
  </si>
  <si>
    <t>HTML - Japanese (EUC)</t>
  </si>
  <si>
    <t>HTML - Japanese (ShiftJIS)</t>
  </si>
  <si>
    <t>HTML - Korean (Hangul)</t>
  </si>
  <si>
    <t>HTML AG</t>
  </si>
  <si>
    <t>HTML WCA</t>
  </si>
  <si>
    <t>HTML_CS.</t>
  </si>
  <si>
    <t>HTML_JAPANESEJIS</t>
  </si>
  <si>
    <t>HTMLUNICODE</t>
  </si>
  <si>
    <t>Internet HTML</t>
  </si>
  <si>
    <t>Japanese HTML Mac</t>
  </si>
  <si>
    <t>Japanese HTML Windows Shift-JIS ANSI 932</t>
  </si>
  <si>
    <t>JAVASCRIPT</t>
  </si>
  <si>
    <t>Korean HTML Windows ANSI 1361 (Johab)</t>
  </si>
  <si>
    <t>Korean HTML Windows ANSI 949</t>
  </si>
  <si>
    <t>Only used by Export</t>
  </si>
  <si>
    <t>PowerPoint 2000 HTML</t>
  </si>
  <si>
    <t>Russian HTML DOS OEM 866</t>
  </si>
  <si>
    <t>Thai HTML Windows ANSI 874</t>
  </si>
  <si>
    <t>Turkish HTML DOS OEM 857</t>
  </si>
  <si>
    <t>Turkish HTML ISO 8859-9</t>
  </si>
  <si>
    <t>Turkish HTML Mac</t>
  </si>
  <si>
    <t>Turkish HTML Windows ANSI 1254</t>
  </si>
  <si>
    <t>Vietnamese HTML Windows ANSI 1258</t>
  </si>
  <si>
    <t>Western European HTML ISO 8859-1</t>
  </si>
  <si>
    <t>Western European HTML Mac</t>
  </si>
  <si>
    <t>Western European HTML Windows ANSI1252</t>
  </si>
  <si>
    <t>Word 2000 HTML</t>
  </si>
  <si>
    <t>XHTML</t>
  </si>
  <si>
    <t>XHTML B</t>
  </si>
  <si>
    <t>XML_DOCTYPE_HTML</t>
  </si>
  <si>
    <t>Lotus Notes E-mail</t>
  </si>
  <si>
    <t>Domino XML schema</t>
  </si>
  <si>
    <t>FI_NSF6</t>
  </si>
  <si>
    <t>Generic DXL</t>
  </si>
  <si>
    <t>Lotus Notes Calendar</t>
  </si>
  <si>
    <t>Lotus Notes DXL</t>
  </si>
  <si>
    <t>Lotus Notes file</t>
  </si>
  <si>
    <t>Lotus Notes Journal Entry</t>
  </si>
  <si>
    <t>Lotus Notes Mail</t>
  </si>
  <si>
    <t>Lotus Notes Note Item</t>
  </si>
  <si>
    <t>Lotus Notes Task</t>
  </si>
  <si>
    <t>Lotus Notes Unknown</t>
  </si>
  <si>
    <t>Mail Archive DXL</t>
  </si>
  <si>
    <t>Mail Message DXL</t>
  </si>
  <si>
    <t>Encrypted Excel 2007</t>
  </si>
  <si>
    <t>Excel Template Macro Enabled</t>
  </si>
  <si>
    <t>Encrypted Excel 2007 binary</t>
  </si>
  <si>
    <t>Excel 2007</t>
  </si>
  <si>
    <t>Excel 2007 Addin Macro</t>
  </si>
  <si>
    <t>Excel 2007 Binary format</t>
  </si>
  <si>
    <t>Excel 2007 DRM</t>
  </si>
  <si>
    <t>Excel 2010</t>
  </si>
  <si>
    <t>Excel 2010 Addin Macro</t>
  </si>
  <si>
    <t>Excel 2010 Binary</t>
  </si>
  <si>
    <t>Excel 2010 Encrypted</t>
  </si>
  <si>
    <t>Excel 2010 Encrypted Binary</t>
  </si>
  <si>
    <t>Excel 2010 Macro</t>
  </si>
  <si>
    <t>Excel 2010 Template</t>
  </si>
  <si>
    <t>Excel 2010 Template Macro</t>
  </si>
  <si>
    <t>Excel DRM</t>
  </si>
  <si>
    <t>Excel Macro Enabled</t>
  </si>
  <si>
    <t>Excel Template 2007</t>
  </si>
  <si>
    <t>HTML document to process with Microsoft Excel</t>
  </si>
  <si>
    <t>Microsoft Excel 2.x</t>
  </si>
  <si>
    <t>Microsoft Excel 2000</t>
  </si>
  <si>
    <t>Microsoft Excel 2002</t>
  </si>
  <si>
    <t>Microsoft Excel 2003</t>
  </si>
  <si>
    <t>Microsoft Excel 3.0</t>
  </si>
  <si>
    <t>Microsoft Excel 4.0</t>
  </si>
  <si>
    <t>Microsoft Excel 5.0</t>
  </si>
  <si>
    <t>Microsoft Excel 5.0/7.0</t>
  </si>
  <si>
    <t>Microsoft Excel 97/98</t>
  </si>
  <si>
    <t>Microsoft Office Excel 2002/2003 XML</t>
  </si>
  <si>
    <t>MS Excel 3.0 Workbook</t>
  </si>
  <si>
    <t>MS Excel 4.0 Workbook</t>
  </si>
  <si>
    <t>MS Excel 4.0 Workbook Mac</t>
  </si>
  <si>
    <t>MS Excel 4.0 Workbook Reg Mac</t>
  </si>
  <si>
    <t>Microsoft Outlook E-mail</t>
  </si>
  <si>
    <t>Microsssaoft Outlook Message File</t>
  </si>
  <si>
    <t>Outlook Appointment</t>
  </si>
  <si>
    <t>Outlook Contact</t>
  </si>
  <si>
    <t>Outlook Distribution List</t>
  </si>
  <si>
    <t>Outlook Email</t>
  </si>
  <si>
    <t>Outlook Journal Entry</t>
  </si>
  <si>
    <t>Outlook News</t>
  </si>
  <si>
    <t>Outlook Note</t>
  </si>
  <si>
    <t>Outlook Post</t>
  </si>
  <si>
    <t>Outlook Report Item</t>
  </si>
  <si>
    <t>Outlook Sharing Item</t>
  </si>
  <si>
    <t>Outlook Task</t>
  </si>
  <si>
    <t>Microsoft Outlook Express E-mail</t>
  </si>
  <si>
    <t>MIME</t>
  </si>
  <si>
    <t>MIME Mail</t>
  </si>
  <si>
    <t>MIME Outlook EML</t>
  </si>
  <si>
    <t>Outlook express file</t>
  </si>
  <si>
    <t>Outlook Express Folder Data</t>
  </si>
  <si>
    <t>Outlook Express Mail</t>
  </si>
  <si>
    <t>Outlook Express Offline Data</t>
  </si>
  <si>
    <t>Outlook Express POP3 Data</t>
  </si>
  <si>
    <t>Text Mail (Replacing Sent with Date during processing)</t>
  </si>
  <si>
    <t>Microsoft PowerPoint</t>
  </si>
  <si>
    <t>Encrypted PowerPoint 2007</t>
  </si>
  <si>
    <t>Mac PowerPoint 3.0</t>
  </si>
  <si>
    <t>Mac PowerPoint 4.0</t>
  </si>
  <si>
    <t>Mac PowerPoint 4.0 (extracted from .doc file)</t>
  </si>
  <si>
    <t>Macro Enabled</t>
  </si>
  <si>
    <t>Microsoft PowerPoint 95/97</t>
  </si>
  <si>
    <t>Microsoft PowerPoint 97/98</t>
  </si>
  <si>
    <t>Oracle Multimedia internal raster format</t>
  </si>
  <si>
    <t>PowerPoint 2000</t>
  </si>
  <si>
    <t>PowerPoint 2007</t>
  </si>
  <si>
    <t>PowerPoint 2007 DRM</t>
  </si>
  <si>
    <t>PowerPoint 2007 Macro enabled</t>
  </si>
  <si>
    <t>PowerPoint 2007 Slideshow file</t>
  </si>
  <si>
    <t>PowerPoint 2007 Slideshow Macro enabled</t>
  </si>
  <si>
    <t>PowerPoint 2007 Template Macro enabled</t>
  </si>
  <si>
    <t>PowerPoint 2010</t>
  </si>
  <si>
    <t>PowerPoint 2010 Encrypted</t>
  </si>
  <si>
    <t>PowerPoint 2010 Macro Enabled</t>
  </si>
  <si>
    <t>PowerPoint 2010 Slideshow</t>
  </si>
  <si>
    <t>PowerPoint 2010 Template</t>
  </si>
  <si>
    <t>PowerPoint 2010 Template Macro Enabled</t>
  </si>
  <si>
    <t>PowerPoint 3.0</t>
  </si>
  <si>
    <t>PowerPoint 4.0</t>
  </si>
  <si>
    <t>PowerPoint 4.0 (extracted from .doc file)</t>
  </si>
  <si>
    <t>PowerPoint 7.0</t>
  </si>
  <si>
    <t>PowerPoint DRM</t>
  </si>
  <si>
    <t>PowerPoint Template 2007</t>
  </si>
  <si>
    <t>POWERPOINT2</t>
  </si>
  <si>
    <t>Enabled XML format</t>
  </si>
  <si>
    <t>Encrypted Word 2007</t>
  </si>
  <si>
    <t>HTML document to process with</t>
  </si>
  <si>
    <t>Microsoft Word</t>
  </si>
  <si>
    <t>Microsoft Word 2000</t>
  </si>
  <si>
    <t>Microsoft Word 2002</t>
  </si>
  <si>
    <t>Microsoft Word 2003</t>
  </si>
  <si>
    <t>Microsoft Word 97/98</t>
  </si>
  <si>
    <t>MS Office 12 (2007) Word XML format</t>
  </si>
  <si>
    <t>MS Office 12 2007 Word - Macro Enabled</t>
  </si>
  <si>
    <t>MS Office 12 2007 Word Template - Macro</t>
  </si>
  <si>
    <t>MS Office 12 Word format</t>
  </si>
  <si>
    <t>MS Office 2003 Word XML format</t>
  </si>
  <si>
    <t>MS Office Word 2010</t>
  </si>
  <si>
    <t>MS Office Word 2010 Encrypted</t>
  </si>
  <si>
    <t>MS Office Word 2010 Macro</t>
  </si>
  <si>
    <t>MS Office Word 2010 Template</t>
  </si>
  <si>
    <t>MS Office Word 2010 Template Macro</t>
  </si>
  <si>
    <t>Word 2007 DRM</t>
  </si>
  <si>
    <t>Word 6.0 or 7.0</t>
  </si>
  <si>
    <t>Word 7.0</t>
  </si>
  <si>
    <t>Word DRM</t>
  </si>
  <si>
    <t>Word for Windows 1.2 J</t>
  </si>
  <si>
    <t>Word for Windows 1.x</t>
  </si>
  <si>
    <t>Word for Windows 2.0</t>
  </si>
  <si>
    <t>Word for Windows 2.0 Object</t>
  </si>
  <si>
    <t>Word for Windows 5.0 J</t>
  </si>
  <si>
    <t>XML format</t>
  </si>
  <si>
    <t>.ARC File</t>
  </si>
  <si>
    <t>.COM File</t>
  </si>
  <si>
    <t>7-Zip archive</t>
  </si>
  <si>
    <t>Advanced Systems Format</t>
  </si>
  <si>
    <t>Appendix C, Oracle’s™ Outside In File Format Listing</t>
  </si>
  <si>
    <t>audio - Layer 2</t>
  </si>
  <si>
    <t>C-12 IPRO eCapture™</t>
  </si>
  <si>
    <t>CHUNKERBINARY</t>
  </si>
  <si>
    <t>EBCDIC</t>
  </si>
  <si>
    <t>Envoy</t>
  </si>
  <si>
    <t>Envoy 7</t>
  </si>
  <si>
    <t>Eudora Mail</t>
  </si>
  <si>
    <t>Eudora Mail Folder</t>
  </si>
  <si>
    <t>EXE / DLL File</t>
  </si>
  <si>
    <t>FI_ENCRYPTED_UNKNOWNMSFTOFFICEDOC</t>
  </si>
  <si>
    <t>FI_MSCAB</t>
  </si>
  <si>
    <t>FI_SEARCHML20</t>
  </si>
  <si>
    <t>FI_SEARCHML30</t>
  </si>
  <si>
    <t>FI_SEARCHML31</t>
  </si>
  <si>
    <t>FI_SEARCHML32</t>
  </si>
  <si>
    <t>FI_SEARCHML33</t>
  </si>
  <si>
    <t>FI_YAHOOIM</t>
  </si>
  <si>
    <t>File is corrupt</t>
  </si>
  <si>
    <t>ISO Base Media File format</t>
  </si>
  <si>
    <t>Java .class file</t>
  </si>
  <si>
    <t>LZH Compress</t>
  </si>
  <si>
    <t>Macromedia Director</t>
  </si>
  <si>
    <t>Macromedia Flash</t>
  </si>
  <si>
    <t>MBOX file</t>
  </si>
  <si>
    <t>MHTML</t>
  </si>
  <si>
    <t>Microsoft Digital Video Recording ASF subtype</t>
  </si>
  <si>
    <t>Microsoft InfoPath</t>
  </si>
  <si>
    <t>Microsoft Outlook Form Template</t>
  </si>
  <si>
    <t>Microsoft Publisher 2003</t>
  </si>
  <si>
    <t>Microsoft Publisher 2007</t>
  </si>
  <si>
    <t>MIDI File</t>
  </si>
  <si>
    <t>MIME News</t>
  </si>
  <si>
    <t>MP3 file</t>
  </si>
  <si>
    <t>MP3 file</t>
  </si>
  <si>
    <t>MP3 file with no metadata</t>
  </si>
  <si>
    <t>MPEG-1</t>
  </si>
  <si>
    <t>MPEG-1 video</t>
  </si>
  <si>
    <t>MPEG-2 audio - Layer 1</t>
  </si>
  <si>
    <t>MPEG-2 audio - Layer 2</t>
  </si>
  <si>
    <t>MPEG-2 audio - Layer 3</t>
  </si>
  <si>
    <t>MPEG-2 video</t>
  </si>
  <si>
    <t>MPEG-4</t>
  </si>
  <si>
    <t>MPEG-7</t>
  </si>
  <si>
    <t>MS Office Binder</t>
  </si>
  <si>
    <t>NONE</t>
  </si>
  <si>
    <t>Non-MP3 multimedia file with ID3v1.x metadata</t>
  </si>
  <si>
    <t>Non-MP3 multimedia file with ID3v2.x metadata</t>
  </si>
  <si>
    <t>Not a real FI - Used by pipeline components that support any format</t>
  </si>
  <si>
    <t>OEMBEGIN</t>
  </si>
  <si>
    <t>OEMEND</t>
  </si>
  <si>
    <t>OneNote 2007</t>
  </si>
  <si>
    <t>Outlook Data File</t>
  </si>
  <si>
    <t>Outlook PAB (Personal Address Book)</t>
  </si>
  <si>
    <t>PAGEML</t>
  </si>
  <si>
    <t>PLUGIN</t>
  </si>
  <si>
    <t>PSF Fields File</t>
  </si>
  <si>
    <t>PST 2003</t>
  </si>
  <si>
    <t>QuickFinder</t>
  </si>
  <si>
    <t>Quicktime Movie</t>
  </si>
  <si>
    <t>RAR Archive</t>
  </si>
  <si>
    <t>RAR File</t>
  </si>
  <si>
    <t>Real Media both Real Audio and Real Video</t>
  </si>
  <si>
    <t>Resource Interchange File Format file</t>
  </si>
  <si>
    <t>Search Export HTML output</t>
  </si>
  <si>
    <t>Search Export text output</t>
  </si>
  <si>
    <t>SEARCHML</t>
  </si>
  <si>
    <t>Self UnZipping .exe</t>
  </si>
  <si>
    <t>Self-Extracting LZH</t>
  </si>
  <si>
    <t>Self-extracting RAR Archive</t>
  </si>
  <si>
    <t>Stufflt</t>
  </si>
  <si>
    <t>TESTQUEUE</t>
  </si>
  <si>
    <t>TKABBREV</t>
  </si>
  <si>
    <t>TKCULTURELIT</t>
  </si>
  <si>
    <t>TKDICTIONARY</t>
  </si>
  <si>
    <t>TKGRAMMAR</t>
  </si>
  <si>
    <t>TKQUOTE</t>
  </si>
  <si>
    <t>TKTHESAURUS</t>
  </si>
  <si>
    <t>TKTHESSYN</t>
  </si>
  <si>
    <t>TKWRITTENWORD</t>
  </si>
  <si>
    <t>TNEF</t>
  </si>
  <si>
    <t>UNIX Compress</t>
  </si>
  <si>
    <t>UNIX GZipiUNIX Tar</t>
  </si>
  <si>
    <t>Unused as new schemas of Office do not differentiate them</t>
  </si>
  <si>
    <t>Used by the Export filter for testing mem leaks</t>
  </si>
  <si>
    <t>VCalendar</t>
  </si>
  <si>
    <t>Windows Clipboard file</t>
  </si>
  <si>
    <t>Windows Media Audio ASF subtype</t>
  </si>
  <si>
    <t>Windows Media Playlist</t>
  </si>
  <si>
    <t>Windows Media Video ASF subtype</t>
  </si>
  <si>
    <t>Windows Sound</t>
  </si>
  <si>
    <t>Windows Video</t>
  </si>
  <si>
    <t>ZIP File</t>
  </si>
  <si>
    <t>Adobe Acrobat (PDF)</t>
  </si>
  <si>
    <t>PDF Image</t>
  </si>
  <si>
    <t>PDFMACBIN</t>
  </si>
  <si>
    <t>CEO Spreadsheet</t>
  </si>
  <si>
    <t>DIF Spreadsheet</t>
  </si>
  <si>
    <t>Enable Spreadsheet</t>
  </si>
  <si>
    <t>FIRSTCHOICE_SS</t>
  </si>
  <si>
    <t>Generic WKS</t>
  </si>
  <si>
    <t>IBM Lotus Symphony Spreadsheet</t>
  </si>
  <si>
    <t>Kingsoft Spreadsheets</t>
  </si>
  <si>
    <t>Lotus 123 (SmartSuite 9)</t>
  </si>
  <si>
    <t>Lotus 1-2-3 1.0 &amp; 1.0A</t>
  </si>
  <si>
    <t>Lotus 1-2-3 2.0 &amp; Symphony 1.1 &amp; 2.0</t>
  </si>
  <si>
    <t>Lotus 1-2-3 3.0</t>
  </si>
  <si>
    <t>Lotus 1-2-3 4.x/5.x</t>
  </si>
  <si>
    <t>Lotus 123 97 Edition</t>
  </si>
  <si>
    <t>Lotus 123 R2 OS2</t>
  </si>
  <si>
    <t>Lotus 123 R2 OS2 Chart</t>
  </si>
  <si>
    <t>Lotus Symphony 1.0</t>
  </si>
  <si>
    <t>Mac Works 2.0 SS</t>
  </si>
  <si>
    <t>Microsoft Works SS</t>
  </si>
  <si>
    <t>Mosaic Twin</t>
  </si>
  <si>
    <t>MS Works Spreadsheet 6</t>
  </si>
  <si>
    <t>Multiplan 4.0</t>
  </si>
  <si>
    <t>Open Office Calc 3</t>
  </si>
  <si>
    <t>Open Office Calc 6</t>
  </si>
  <si>
    <t>Open Office Calc 8</t>
  </si>
  <si>
    <t>Oracle Open Office Calc 3</t>
  </si>
  <si>
    <t>PFS: Plan</t>
  </si>
  <si>
    <t>Quattro</t>
  </si>
  <si>
    <t>Quattro Pro</t>
  </si>
  <si>
    <t>Quattro Pro 10NB</t>
  </si>
  <si>
    <t>Quattro Pro 11</t>
  </si>
  <si>
    <t>Quattro Pro 12NB</t>
  </si>
  <si>
    <t>Quattro Pro 4.0</t>
  </si>
  <si>
    <t>Quattro Pro 5.0</t>
  </si>
  <si>
    <t>Quattro Pro 8</t>
  </si>
  <si>
    <t>Quattro Pro 9</t>
  </si>
  <si>
    <t>Quattro Pro for Windows</t>
  </si>
  <si>
    <t>Quattro Pro Win 6.0</t>
  </si>
  <si>
    <t>Quattro Pro Win 7.0/8.0</t>
  </si>
  <si>
    <t>Quattro Pro Win 7.0/8.0 Graph</t>
  </si>
  <si>
    <t>Quattro Pro Windows Japan</t>
  </si>
  <si>
    <t>Quattro Pro X4 NB</t>
  </si>
  <si>
    <t>Smart Spreadsheet</t>
  </si>
  <si>
    <t>Star Office Calc 9</t>
  </si>
  <si>
    <t>StarOffice Calc 5.2</t>
  </si>
  <si>
    <t>StarOffice Calc 6 &amp; 7</t>
  </si>
  <si>
    <t>StarOffice Calc 8 &amp; Open Office 2</t>
  </si>
  <si>
    <t>SuperCalc 5</t>
  </si>
  <si>
    <t>VP-Planner</t>
  </si>
  <si>
    <t>Windows Works 3.0 SS</t>
  </si>
  <si>
    <t>Windows Works 4.0 SS</t>
  </si>
  <si>
    <t>Windows Works SS</t>
  </si>
  <si>
    <t>Arabic Text</t>
  </si>
  <si>
    <t>ARABIC_710</t>
  </si>
  <si>
    <t>ARABIC_720</t>
  </si>
  <si>
    <t>ARABIC_WINDOWS</t>
  </si>
  <si>
    <t>Austrian/German EBCDIC Text</t>
  </si>
  <si>
    <t>Austrian/German IBM</t>
  </si>
  <si>
    <t>Baltic Text</t>
  </si>
  <si>
    <t>Belgian/International</t>
  </si>
  <si>
    <t>Belgian/International IBM EBCDIC HTML</t>
  </si>
  <si>
    <t>BinHex Encoded Part</t>
  </si>
  <si>
    <t>BinHex Encoded Text File</t>
  </si>
  <si>
    <t>Central European Text Windows ANSI 1250</t>
  </si>
  <si>
    <t>CENTRALEU_1250</t>
  </si>
  <si>
    <t>Chinese Traditional Text</t>
  </si>
  <si>
    <t>CHINESEBIG5</t>
  </si>
  <si>
    <t>CHINESEGB</t>
  </si>
  <si>
    <t>Code page 852 - MS DOS Slavic</t>
  </si>
  <si>
    <t>Cyrillic Text DOS OEM 855</t>
  </si>
  <si>
    <t>Cyrillic Text ISO 8859-5</t>
  </si>
  <si>
    <t>Cyrillic Text KOI8-R</t>
  </si>
  <si>
    <t>Cyrillic Text Mac</t>
  </si>
  <si>
    <t>Cyrillic Text Windows ANSI 1251</t>
  </si>
  <si>
    <t>Danish/Norwegian EBCDIC Text</t>
  </si>
  <si>
    <t>Danish/Norwegian IBM EBCDIC HTML</t>
  </si>
  <si>
    <t>DONTVIEW</t>
  </si>
  <si>
    <t>EBCDIC HTML</t>
  </si>
  <si>
    <t>EBCDIC Text</t>
  </si>
  <si>
    <t>Finnish/Swedish EBCDIC Text</t>
  </si>
  <si>
    <t>Finnish/Swedish IBM EBCDIC HTML</t>
  </si>
  <si>
    <t>French EBCDIC Text</t>
  </si>
  <si>
    <t>French IBM EBCDIC HTML</t>
  </si>
  <si>
    <t>Greek Text ISO 8859-7</t>
  </si>
  <si>
    <t>Greek Text Mac Windows Mac</t>
  </si>
  <si>
    <t>Greek Text Windows ANSI 1253</t>
  </si>
  <si>
    <t>HANGEUL</t>
  </si>
  <si>
    <t>Hebrew Text DOS OEM 862</t>
  </si>
  <si>
    <t>Hebrew Text ISO 8859-8</t>
  </si>
  <si>
    <t>HEBREW_E0</t>
  </si>
  <si>
    <t>HEBREW_OLDCODE</t>
  </si>
  <si>
    <t>HEBREW_PC8</t>
  </si>
  <si>
    <t>HEBREW_WINDOWS</t>
  </si>
  <si>
    <t>Hex</t>
  </si>
  <si>
    <t>Hungarian/Polish/Yugoslavian/Czechoslovakian EBCDIC HTML</t>
  </si>
  <si>
    <t>Hungarian/Polish/Yugoslavian/Czechoslovakian EBCDIC Text</t>
  </si>
  <si>
    <t>Icelandic EBCDIC Text</t>
  </si>
  <si>
    <t>Icelandic IBM EBCDIC HTML</t>
  </si>
  <si>
    <t>Italian EBCDIC Text</t>
  </si>
  <si>
    <t>Italian IBM EBCDIC HTML</t>
  </si>
  <si>
    <t>Japanese Text Mac</t>
  </si>
  <si>
    <t>Japanese Text Windows Shift-JIS ANSI 932</t>
  </si>
  <si>
    <t>JAPANESE_EUC</t>
  </si>
  <si>
    <t>JAPANESE_JIS</t>
  </si>
  <si>
    <t>Korean Text Windows ANSI 1361 (Johab)</t>
  </si>
  <si>
    <t>Korean Text Windows ANSI 949</t>
  </si>
  <si>
    <t>Plain Text</t>
  </si>
  <si>
    <t>Russian Text DOS OEM 866</t>
  </si>
  <si>
    <t>SHIFTJIS</t>
  </si>
  <si>
    <t>Spanish EBCDIC Text</t>
  </si>
  <si>
    <t>Spanish IBM EBCDIC HTML</t>
  </si>
  <si>
    <t>Text - ANSI - 7bit</t>
  </si>
  <si>
    <t>Text - ANSI - 8bit</t>
  </si>
  <si>
    <t>Text - ASCII - 7bit</t>
  </si>
  <si>
    <t>Text - ASCII - 8bit</t>
  </si>
  <si>
    <t>Text - MAC - 7bit</t>
  </si>
  <si>
    <t>Text - MAC - 8bit</t>
  </si>
  <si>
    <t>Text - UNICODE</t>
  </si>
  <si>
    <t>Thai Text Windows ANSI 874</t>
  </si>
  <si>
    <t>Turkish EBCDIC HTML</t>
  </si>
  <si>
    <t>Turkish IBM EBCDIC HTML</t>
  </si>
  <si>
    <t>Turkish Text DOS OEM 857</t>
  </si>
  <si>
    <t>Turkish Text ISO 8859-9</t>
  </si>
  <si>
    <t>Turkish Text Mac</t>
  </si>
  <si>
    <t>Turkish Text Windows ANSI 1254</t>
  </si>
  <si>
    <t>U.K. English EBCDIC Text</t>
  </si>
  <si>
    <t>U.K. English IBM EBCDIC HTML</t>
  </si>
  <si>
    <t>U.S. English/Portuguese EBCDIC HTML</t>
  </si>
  <si>
    <t>U.S. English/Portuguese EBCDIC Text</t>
  </si>
  <si>
    <t>UTF8</t>
  </si>
  <si>
    <t>UUENCODED Part</t>
  </si>
  <si>
    <t>UUENCODED Text File</t>
  </si>
  <si>
    <t>Vietnamese Text Windows ANSI 1258</t>
  </si>
  <si>
    <t>Western European Text ISO 8859-1</t>
  </si>
  <si>
    <t>Western European Text Mac</t>
  </si>
  <si>
    <t>Western European Text Windows ANSI 1252</t>
  </si>
  <si>
    <t>XXENCODED Part</t>
  </si>
  <si>
    <t>XXENCODED Text File</t>
  </si>
  <si>
    <t>YENCODED Part</t>
  </si>
  <si>
    <t>YENCODED Text File</t>
  </si>
  <si>
    <t>Unknown format</t>
  </si>
  <si>
    <t>Ami</t>
  </si>
  <si>
    <t>Ami [Clip]</t>
  </si>
  <si>
    <t>Ami Pro</t>
  </si>
  <si>
    <t>Arehangeul</t>
  </si>
  <si>
    <t>CEO Word</t>
  </si>
  <si>
    <t>CEO Write</t>
  </si>
  <si>
    <t>Cyrillic Text (ANSI 1251)</t>
  </si>
  <si>
    <t>Cyrillic Text (KOI8-R)</t>
  </si>
  <si>
    <t>DEC DX 3.0 or below</t>
  </si>
  <si>
    <t>DEC DX 3.1</t>
  </si>
  <si>
    <t>Digital WPS Plus</t>
  </si>
  <si>
    <t>Enable WP 3.0</t>
  </si>
  <si>
    <t>Enable WP 4.x</t>
  </si>
  <si>
    <t>Europa Fulcrum</t>
  </si>
  <si>
    <t>Europa Fulcrum</t>
  </si>
  <si>
    <t>FI_DRM_UNKNOWN</t>
  </si>
  <si>
    <t>FI_KINGSOFT writer</t>
  </si>
  <si>
    <t>FI_ORACLE_IRM</t>
  </si>
  <si>
    <t>FI_XMP</t>
  </si>
  <si>
    <t>Filter to generate XMP SO output</t>
  </si>
  <si>
    <t>First Choice 3 WP</t>
  </si>
  <si>
    <t>First Choice WP</t>
  </si>
  <si>
    <t>Fulcrum Document Format</t>
  </si>
  <si>
    <t>Hana</t>
  </si>
  <si>
    <t>HANGULWP2002</t>
  </si>
  <si>
    <t>HANGULWP97</t>
  </si>
  <si>
    <t>IBM DCA/FFT</t>
  </si>
  <si>
    <t>IBM DCA/RFT</t>
  </si>
  <si>
    <t>IBM DisplayWrite 2 or 3</t>
  </si>
  <si>
    <t>IBM DisplayWrite 4</t>
  </si>
  <si>
    <t>IBM DisplayWrite 5</t>
  </si>
  <si>
    <t>IBM Lotus Symphony Document</t>
  </si>
  <si>
    <t>IBM Writing Assistant</t>
  </si>
  <si>
    <t>Ichitaro 3.x</t>
  </si>
  <si>
    <t>Ichitaro 4.x</t>
  </si>
  <si>
    <t>Ichitaro 8.0</t>
  </si>
  <si>
    <t>Interleaf 6</t>
  </si>
  <si>
    <t>Interleaf Japan</t>
  </si>
  <si>
    <t>JustWrite 1.0</t>
  </si>
  <si>
    <t>JustWrite 2.0</t>
  </si>
  <si>
    <t>Legacy</t>
  </si>
  <si>
    <t>Legacy [Clip]</t>
  </si>
  <si>
    <t>Lotus Manuscript 1.0</t>
  </si>
  <si>
    <t>Lotus Manuscript 2.0</t>
  </si>
  <si>
    <t>Lotus WordPro 97/Millennium</t>
  </si>
  <si>
    <t>Mac Word 3.0</t>
  </si>
  <si>
    <t>Mac Word 4.0</t>
  </si>
  <si>
    <t>Mac Word 5.x</t>
  </si>
  <si>
    <t>Mac Word 6</t>
  </si>
  <si>
    <t>Mac Word 97</t>
  </si>
  <si>
    <t>Mac WordPerfect 1.x</t>
  </si>
  <si>
    <t>Mac WordPerfect 2.0</t>
  </si>
  <si>
    <t>Mac WordPerfect 3.0</t>
  </si>
  <si>
    <t>Mac Works 2.0 WP</t>
  </si>
  <si>
    <t>MACWORD4COMPLEX</t>
  </si>
  <si>
    <t>MacWrite II</t>
  </si>
  <si>
    <t>Mass 11</t>
  </si>
  <si>
    <t>Mass 11 VAX</t>
  </si>
  <si>
    <t>Matsu 4</t>
  </si>
  <si>
    <t>Matsu 5</t>
  </si>
  <si>
    <t>Microsoft Pocket Word</t>
  </si>
  <si>
    <t>Microsoft WordPad</t>
  </si>
  <si>
    <t>Microsoft Works 1.0</t>
  </si>
  <si>
    <t>Microsoft Works 2.0</t>
  </si>
  <si>
    <t>Microsoft Write Chinese (Big5)</t>
  </si>
  <si>
    <t>Microsoft Write Chinese (GB)</t>
  </si>
  <si>
    <t>Microsoft Write Hangul</t>
  </si>
  <si>
    <t>Microsoft Write Shift JIS</t>
  </si>
  <si>
    <t>MIFF</t>
  </si>
  <si>
    <t>MIFF 3.0</t>
  </si>
  <si>
    <t>MIFF 3.0 Japan</t>
  </si>
  <si>
    <t>MIFF 4.0</t>
  </si>
  <si>
    <t>MIFF 4.0 Japan</t>
  </si>
  <si>
    <t>MIFF 5.0</t>
  </si>
  <si>
    <t>MIFF 5.0 Japan</t>
  </si>
  <si>
    <t>MIFF 5.5</t>
  </si>
  <si>
    <t>MIFF6</t>
  </si>
  <si>
    <t>MIFF6J</t>
  </si>
  <si>
    <t>MS Works 2000</t>
  </si>
  <si>
    <t>MultiMate 3.6</t>
  </si>
  <si>
    <t>MultiMate 4.0</t>
  </si>
  <si>
    <t>MultiMate Advantage 2</t>
  </si>
  <si>
    <t>MultiMate Note</t>
  </si>
  <si>
    <t>Navy DIF</t>
  </si>
  <si>
    <t>OfficeWriter</t>
  </si>
  <si>
    <t>Only used by Export - No filter associated with this FI ID</t>
  </si>
  <si>
    <t>Open Office Writer 1</t>
  </si>
  <si>
    <t>Open Office Writer 2</t>
  </si>
  <si>
    <t>Open Office Writer 3</t>
  </si>
  <si>
    <t>Oracle Open Office Writer 3</t>
  </si>
  <si>
    <t>P HTML</t>
  </si>
  <si>
    <t>P1 Japan</t>
  </si>
  <si>
    <t>PC File 5.0 Doc</t>
  </si>
  <si>
    <t>PefectWorks for Windows</t>
  </si>
  <si>
    <t>PFS: Write A</t>
  </si>
  <si>
    <t>PFS: Write B</t>
  </si>
  <si>
    <t>POCKETWORD20</t>
  </si>
  <si>
    <t>Pro Write Plus [Clip]</t>
  </si>
  <si>
    <t>Professional Write 1</t>
  </si>
  <si>
    <t>Professional Write 2</t>
  </si>
  <si>
    <t>Professional Write Plus</t>
  </si>
  <si>
    <t>Q&amp;A Write</t>
  </si>
  <si>
    <t>Q&amp;A Write 3</t>
  </si>
  <si>
    <t>Rainbow</t>
  </si>
  <si>
    <t>Rich Text Format Japan</t>
  </si>
  <si>
    <t>Samna</t>
  </si>
  <si>
    <t>Samsung Jungum .GUL FIle</t>
  </si>
  <si>
    <t>SearchML 34</t>
  </si>
  <si>
    <t>Signature</t>
  </si>
  <si>
    <t>SmartWare II</t>
  </si>
  <si>
    <t>Sprint</t>
  </si>
  <si>
    <t>Star Office 8 &amp; Open Office 2</t>
  </si>
  <si>
    <t>Star Office Writer 9</t>
  </si>
  <si>
    <t>StarOffice Writer 5.2</t>
  </si>
  <si>
    <t>StarOffice Writer 6 &amp; 7</t>
  </si>
  <si>
    <t>Text Mail</t>
  </si>
  <si>
    <t>Total Word</t>
  </si>
  <si>
    <t>Vcard</t>
  </si>
  <si>
    <t>Volkswriter</t>
  </si>
  <si>
    <t>Wang IWP</t>
  </si>
  <si>
    <t>WANGWPS</t>
  </si>
  <si>
    <t>Windows Works 3.0 WP</t>
  </si>
  <si>
    <t>Windows Works 4.0 WP</t>
  </si>
  <si>
    <t>Windows Works WP</t>
  </si>
  <si>
    <t>Windows Write</t>
  </si>
  <si>
    <t>WML [ASCII]</t>
  </si>
  <si>
    <t>WML [Binary]</t>
  </si>
  <si>
    <t>WML_CHINESEBIG5</t>
  </si>
  <si>
    <t>WML_CHINESEEUC</t>
  </si>
  <si>
    <t>WML_CHINESEGB</t>
  </si>
  <si>
    <t>WML_CSS</t>
  </si>
  <si>
    <t>WML_CYRILLIC1251</t>
  </si>
  <si>
    <t>WML_CYRILLICKOI8</t>
  </si>
  <si>
    <t>WML_JAPANESEEUC</t>
  </si>
  <si>
    <t>WML_JAPANESEJIS</t>
  </si>
  <si>
    <t>WML_JAPANESESJIS</t>
  </si>
  <si>
    <t>WML_KOREANHANGUL</t>
  </si>
  <si>
    <t>WML_LATIN2</t>
  </si>
  <si>
    <t>Word for DOS 4.x</t>
  </si>
  <si>
    <t>Word for DOS 5.x</t>
  </si>
  <si>
    <t>Word for DOS 6.0</t>
  </si>
  <si>
    <t>WordMarc</t>
  </si>
  <si>
    <t>WordPerfect 4.2</t>
  </si>
  <si>
    <t>WordPerfect 5.0</t>
  </si>
  <si>
    <t>WordPerfect 5.1 Far East</t>
  </si>
  <si>
    <t>WordPerfect 5.1/5.2</t>
  </si>
  <si>
    <t>WordPerfect 6.0</t>
  </si>
  <si>
    <t>WordPerfect 6.1</t>
  </si>
  <si>
    <t>WordPerfect 7</t>
  </si>
  <si>
    <t>WordPerfect 7.0/8.0</t>
  </si>
  <si>
    <t>WordPerfect Encrypted</t>
  </si>
  <si>
    <t>WordPro 96/97</t>
  </si>
  <si>
    <t>Wordstar 2000</t>
  </si>
  <si>
    <t>Wordstar 4.0</t>
  </si>
  <si>
    <t>Wordstar 5.0</t>
  </si>
  <si>
    <t>Wordstar 5.5</t>
  </si>
  <si>
    <t>WordStar 6.0</t>
  </si>
  <si>
    <t>Wordstar 7.0</t>
  </si>
  <si>
    <t>Wordstar for Windows</t>
  </si>
  <si>
    <t>WP/Novell Unknown Format</t>
  </si>
  <si>
    <t>XyWrite/Nota Bene</t>
  </si>
  <si>
    <t>Adobe Indesign Interchange</t>
  </si>
  <si>
    <t>Extensible Markup Language (XML)</t>
  </si>
  <si>
    <t>Flexiondoc 2 schema</t>
  </si>
  <si>
    <t>Flexiondoc 3 schema</t>
  </si>
  <si>
    <t>Flexiondoc 4 schema</t>
  </si>
  <si>
    <t>Flexiondoc 5 schema</t>
  </si>
  <si>
    <t>Flexiondoc 5.1 schema</t>
  </si>
  <si>
    <t>Flexiondoc 5.2 schema</t>
  </si>
  <si>
    <t>Flexiondoc 5.4 schema</t>
  </si>
  <si>
    <t>This FI won't always refer to the most recent Flexiondoc schema</t>
  </si>
  <si>
    <t>XML Bitform</t>
  </si>
  <si>
    <t>AAAAAFjNf0Y=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</si>
</sst>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numFmt numFmtId="165" formatCode="m/d/yyyy;@"/>
    <numFmt numFmtId="166" formatCode="m/d/yyyy\ h:mm:ss;@"/>
  </numFmts>
  <fonts count="5" x14ac:knownFonts="1">
    <font>
      <sz val="10"/>
      <color rgb="FF000000"/>
      <name val="Arial"/>
    </font>
    <font>
      <sz val="10"/>
      <color rgb="FF0000FF"/>
      <name val="Arial"/>
    </font>
    <font>
      <sz val="10"/>
      <color rgb="FF000000"/>
      <name val="Arial"/>
    </font>
    <font>
      <b/>
      <sz val="12"/>
      <color rgb="FF000000"/>
      <name val="Arial"/>
    </font>
    <font>
      <b/>
      <sz val="10"/>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applyAlignment="1">
      <alignment wrapText="1"/>
    </xf>
    <xf numFmtId="164"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87"/>
  <sheetViews>
    <sheetView topLeftCell="A541" workbookViewId="0"/>
  </sheetViews>
  <sheetFormatPr defaultColWidth="17.140625" defaultRowHeight="12.75" customHeight="1" x14ac:dyDescent="0.2"/>
  <cols>
    <col min="1" max="1" width="15.28515625" customWidth="1"/>
    <col min="2" max="2" width="22.7109375" customWidth="1"/>
    <col min="3" max="3" width="31.42578125" customWidth="1"/>
    <col min="4" max="4" width="47.7109375" customWidth="1"/>
    <col min="5" max="5" width="75.42578125" customWidth="1"/>
    <col min="6" max="6" width="45.42578125" customWidth="1"/>
  </cols>
  <sheetData>
    <row r="1" spans="1:6" ht="12.75" customHeight="1" x14ac:dyDescent="0.2">
      <c r="A1" t="s">
        <v>0</v>
      </c>
      <c r="D1" s="5"/>
    </row>
    <row r="2" spans="1:6" ht="12.75" customHeight="1" x14ac:dyDescent="0.2">
      <c r="A2" s="7" t="s">
        <v>1</v>
      </c>
      <c r="B2" s="7" t="s">
        <v>2</v>
      </c>
      <c r="C2" s="7" t="s">
        <v>3</v>
      </c>
      <c r="D2" s="7" t="s">
        <v>4</v>
      </c>
      <c r="E2" s="7" t="s">
        <v>5</v>
      </c>
      <c r="F2" s="7" t="s">
        <v>6</v>
      </c>
    </row>
    <row r="4" spans="1:6" ht="12.75" customHeight="1" x14ac:dyDescent="0.2">
      <c r="A4" t="s">
        <v>7</v>
      </c>
      <c r="B4" t="s">
        <v>8</v>
      </c>
      <c r="C4" t="s">
        <v>9</v>
      </c>
      <c r="D4" t="s">
        <v>10</v>
      </c>
    </row>
    <row r="5" spans="1:6" ht="12.75" customHeight="1" x14ac:dyDescent="0.2">
      <c r="A5" t="s">
        <v>7</v>
      </c>
      <c r="B5" t="s">
        <v>8</v>
      </c>
      <c r="C5" t="s">
        <v>9</v>
      </c>
      <c r="D5" t="s">
        <v>11</v>
      </c>
    </row>
    <row r="6" spans="1:6" ht="12.75" customHeight="1" x14ac:dyDescent="0.2">
      <c r="A6" t="s">
        <v>7</v>
      </c>
      <c r="B6" t="s">
        <v>8</v>
      </c>
      <c r="C6" t="s">
        <v>9</v>
      </c>
      <c r="D6" t="s">
        <v>12</v>
      </c>
    </row>
    <row r="7" spans="1:6" ht="12.75" customHeight="1" x14ac:dyDescent="0.2">
      <c r="A7" t="s">
        <v>7</v>
      </c>
      <c r="B7" t="s">
        <v>8</v>
      </c>
      <c r="C7" t="s">
        <v>9</v>
      </c>
      <c r="D7" t="s">
        <v>13</v>
      </c>
    </row>
    <row r="8" spans="1:6" ht="12.75" customHeight="1" x14ac:dyDescent="0.2">
      <c r="A8" t="s">
        <v>7</v>
      </c>
      <c r="B8" t="s">
        <v>8</v>
      </c>
      <c r="C8" t="s">
        <v>9</v>
      </c>
      <c r="D8" t="s">
        <v>14</v>
      </c>
    </row>
    <row r="9" spans="1:6" ht="12.75" customHeight="1" x14ac:dyDescent="0.2">
      <c r="A9" t="s">
        <v>7</v>
      </c>
      <c r="B9" t="s">
        <v>8</v>
      </c>
      <c r="C9" t="s">
        <v>9</v>
      </c>
      <c r="D9" t="s">
        <v>15</v>
      </c>
    </row>
    <row r="10" spans="1:6" ht="12.75" customHeight="1" x14ac:dyDescent="0.2">
      <c r="A10" t="s">
        <v>7</v>
      </c>
      <c r="B10" t="s">
        <v>8</v>
      </c>
      <c r="C10" t="s">
        <v>9</v>
      </c>
      <c r="D10" t="s">
        <v>16</v>
      </c>
    </row>
    <row r="11" spans="1:6" ht="12.75" customHeight="1" x14ac:dyDescent="0.2">
      <c r="A11" t="s">
        <v>7</v>
      </c>
      <c r="B11" t="s">
        <v>8</v>
      </c>
      <c r="C11" t="s">
        <v>9</v>
      </c>
      <c r="D11" t="s">
        <v>17</v>
      </c>
    </row>
    <row r="12" spans="1:6" ht="12.75" customHeight="1" x14ac:dyDescent="0.2">
      <c r="A12" t="s">
        <v>7</v>
      </c>
      <c r="B12" t="s">
        <v>8</v>
      </c>
      <c r="C12" t="s">
        <v>9</v>
      </c>
      <c r="D12" t="s">
        <v>18</v>
      </c>
    </row>
    <row r="13" spans="1:6" ht="12.75" customHeight="1" x14ac:dyDescent="0.2">
      <c r="A13" t="s">
        <v>7</v>
      </c>
      <c r="B13" t="s">
        <v>8</v>
      </c>
      <c r="C13" t="s">
        <v>9</v>
      </c>
      <c r="D13" t="s">
        <v>19</v>
      </c>
    </row>
    <row r="14" spans="1:6" ht="12.75" customHeight="1" x14ac:dyDescent="0.2">
      <c r="A14" t="s">
        <v>7</v>
      </c>
      <c r="B14" t="s">
        <v>8</v>
      </c>
      <c r="C14" t="s">
        <v>20</v>
      </c>
      <c r="D14" t="s">
        <v>21</v>
      </c>
    </row>
    <row r="15" spans="1:6" ht="12.75" customHeight="1" x14ac:dyDescent="0.2">
      <c r="A15" t="s">
        <v>7</v>
      </c>
      <c r="B15" t="s">
        <v>8</v>
      </c>
      <c r="C15" t="s">
        <v>20</v>
      </c>
      <c r="D15" t="s">
        <v>22</v>
      </c>
    </row>
    <row r="16" spans="1:6" ht="12.75" customHeight="1" x14ac:dyDescent="0.2">
      <c r="A16" t="s">
        <v>7</v>
      </c>
      <c r="B16" t="s">
        <v>8</v>
      </c>
      <c r="C16" t="s">
        <v>20</v>
      </c>
      <c r="D16" t="s">
        <v>23</v>
      </c>
    </row>
    <row r="17" spans="1:4" ht="12.75" customHeight="1" x14ac:dyDescent="0.2">
      <c r="A17" t="s">
        <v>7</v>
      </c>
      <c r="B17" t="s">
        <v>8</v>
      </c>
      <c r="C17" t="s">
        <v>20</v>
      </c>
      <c r="D17" t="s">
        <v>24</v>
      </c>
    </row>
    <row r="18" spans="1:4" ht="12.75" customHeight="1" x14ac:dyDescent="0.2">
      <c r="A18" t="s">
        <v>7</v>
      </c>
      <c r="B18" t="s">
        <v>8</v>
      </c>
      <c r="C18" t="s">
        <v>20</v>
      </c>
      <c r="D18" t="s">
        <v>25</v>
      </c>
    </row>
    <row r="19" spans="1:4" ht="12.75" customHeight="1" x14ac:dyDescent="0.2">
      <c r="A19" t="s">
        <v>7</v>
      </c>
      <c r="B19" t="s">
        <v>8</v>
      </c>
      <c r="C19" t="s">
        <v>20</v>
      </c>
      <c r="D19" t="s">
        <v>26</v>
      </c>
    </row>
    <row r="20" spans="1:4" ht="12.75" customHeight="1" x14ac:dyDescent="0.2">
      <c r="A20" t="s">
        <v>7</v>
      </c>
      <c r="B20" t="s">
        <v>8</v>
      </c>
      <c r="C20" t="s">
        <v>20</v>
      </c>
      <c r="D20" t="s">
        <v>27</v>
      </c>
    </row>
    <row r="21" spans="1:4" ht="12.75" customHeight="1" x14ac:dyDescent="0.2">
      <c r="A21" t="s">
        <v>7</v>
      </c>
      <c r="B21" t="s">
        <v>8</v>
      </c>
      <c r="C21" t="s">
        <v>20</v>
      </c>
      <c r="D21" t="s">
        <v>28</v>
      </c>
    </row>
    <row r="22" spans="1:4" ht="12.75" customHeight="1" x14ac:dyDescent="0.2">
      <c r="A22" t="s">
        <v>7</v>
      </c>
      <c r="B22" t="s">
        <v>8</v>
      </c>
      <c r="C22" t="s">
        <v>20</v>
      </c>
      <c r="D22" t="s">
        <v>29</v>
      </c>
    </row>
    <row r="23" spans="1:4" ht="12.75" customHeight="1" x14ac:dyDescent="0.2">
      <c r="A23" t="s">
        <v>30</v>
      </c>
      <c r="B23" t="s">
        <v>31</v>
      </c>
      <c r="C23" t="s">
        <v>32</v>
      </c>
      <c r="D23" t="s">
        <v>33</v>
      </c>
    </row>
    <row r="24" spans="1:4" ht="12.75" customHeight="1" x14ac:dyDescent="0.2">
      <c r="A24" t="s">
        <v>30</v>
      </c>
      <c r="B24" t="s">
        <v>31</v>
      </c>
      <c r="C24" t="s">
        <v>32</v>
      </c>
      <c r="D24" t="s">
        <v>34</v>
      </c>
    </row>
    <row r="25" spans="1:4" ht="12.75" customHeight="1" x14ac:dyDescent="0.2">
      <c r="A25" t="s">
        <v>30</v>
      </c>
      <c r="B25" t="s">
        <v>31</v>
      </c>
      <c r="C25" t="s">
        <v>32</v>
      </c>
      <c r="D25" t="s">
        <v>35</v>
      </c>
    </row>
    <row r="26" spans="1:4" ht="12.75" customHeight="1" x14ac:dyDescent="0.2">
      <c r="A26" t="s">
        <v>30</v>
      </c>
      <c r="B26" t="s">
        <v>31</v>
      </c>
      <c r="C26" t="s">
        <v>32</v>
      </c>
      <c r="D26" t="s">
        <v>36</v>
      </c>
    </row>
    <row r="27" spans="1:4" ht="12.75" customHeight="1" x14ac:dyDescent="0.2">
      <c r="A27" t="s">
        <v>30</v>
      </c>
      <c r="B27" t="s">
        <v>31</v>
      </c>
      <c r="C27" t="s">
        <v>32</v>
      </c>
      <c r="D27" t="s">
        <v>37</v>
      </c>
    </row>
    <row r="28" spans="1:4" x14ac:dyDescent="0.2">
      <c r="A28" t="s">
        <v>30</v>
      </c>
      <c r="B28" t="s">
        <v>31</v>
      </c>
      <c r="C28" t="s">
        <v>38</v>
      </c>
      <c r="D28" t="s">
        <v>39</v>
      </c>
    </row>
    <row r="29" spans="1:4" x14ac:dyDescent="0.2">
      <c r="A29" t="s">
        <v>30</v>
      </c>
      <c r="B29" t="s">
        <v>31</v>
      </c>
      <c r="C29" t="s">
        <v>38</v>
      </c>
      <c r="D29" t="s">
        <v>40</v>
      </c>
    </row>
    <row r="30" spans="1:4" x14ac:dyDescent="0.2">
      <c r="A30" t="s">
        <v>30</v>
      </c>
      <c r="B30" t="s">
        <v>31</v>
      </c>
      <c r="C30" t="s">
        <v>38</v>
      </c>
      <c r="D30" t="s">
        <v>41</v>
      </c>
    </row>
    <row r="31" spans="1:4" x14ac:dyDescent="0.2">
      <c r="A31" t="s">
        <v>30</v>
      </c>
      <c r="B31" t="s">
        <v>31</v>
      </c>
      <c r="C31" t="s">
        <v>38</v>
      </c>
      <c r="D31" t="s">
        <v>42</v>
      </c>
    </row>
    <row r="32" spans="1:4" x14ac:dyDescent="0.2">
      <c r="A32" t="s">
        <v>30</v>
      </c>
      <c r="B32" t="s">
        <v>31</v>
      </c>
      <c r="C32" t="s">
        <v>38</v>
      </c>
      <c r="D32" t="s">
        <v>43</v>
      </c>
    </row>
    <row r="33" spans="1:4" x14ac:dyDescent="0.2">
      <c r="A33" t="s">
        <v>30</v>
      </c>
      <c r="B33" t="s">
        <v>31</v>
      </c>
      <c r="C33" t="s">
        <v>44</v>
      </c>
      <c r="D33" t="s">
        <v>45</v>
      </c>
    </row>
    <row r="34" spans="1:4" x14ac:dyDescent="0.2">
      <c r="A34" t="s">
        <v>30</v>
      </c>
      <c r="B34" t="s">
        <v>31</v>
      </c>
      <c r="C34" t="s">
        <v>44</v>
      </c>
      <c r="D34" t="s">
        <v>42</v>
      </c>
    </row>
    <row r="35" spans="1:4" x14ac:dyDescent="0.2">
      <c r="A35" t="s">
        <v>30</v>
      </c>
      <c r="B35" t="s">
        <v>31</v>
      </c>
      <c r="C35" t="s">
        <v>44</v>
      </c>
      <c r="D35" t="s">
        <v>43</v>
      </c>
    </row>
    <row r="36" spans="1:4" x14ac:dyDescent="0.2">
      <c r="A36" t="s">
        <v>30</v>
      </c>
      <c r="B36" t="s">
        <v>31</v>
      </c>
      <c r="C36" t="s">
        <v>46</v>
      </c>
      <c r="D36" t="s">
        <v>47</v>
      </c>
    </row>
    <row r="37" spans="1:4" x14ac:dyDescent="0.2">
      <c r="A37" t="s">
        <v>30</v>
      </c>
      <c r="B37" t="s">
        <v>31</v>
      </c>
      <c r="C37" t="s">
        <v>46</v>
      </c>
      <c r="D37" t="s">
        <v>48</v>
      </c>
    </row>
    <row r="38" spans="1:4" x14ac:dyDescent="0.2">
      <c r="A38" t="s">
        <v>30</v>
      </c>
      <c r="B38" t="s">
        <v>31</v>
      </c>
      <c r="C38" t="s">
        <v>46</v>
      </c>
      <c r="D38" t="s">
        <v>49</v>
      </c>
    </row>
    <row r="39" spans="1:4" x14ac:dyDescent="0.2">
      <c r="A39" t="s">
        <v>30</v>
      </c>
      <c r="B39" t="s">
        <v>31</v>
      </c>
      <c r="C39" t="s">
        <v>46</v>
      </c>
      <c r="D39" t="s">
        <v>50</v>
      </c>
    </row>
    <row r="40" spans="1:4" x14ac:dyDescent="0.2">
      <c r="A40" t="s">
        <v>30</v>
      </c>
      <c r="B40" t="s">
        <v>31</v>
      </c>
      <c r="C40" t="s">
        <v>51</v>
      </c>
      <c r="D40" t="s">
        <v>47</v>
      </c>
    </row>
    <row r="41" spans="1:4" x14ac:dyDescent="0.2">
      <c r="A41" t="s">
        <v>30</v>
      </c>
      <c r="B41" t="s">
        <v>31</v>
      </c>
      <c r="C41" t="s">
        <v>51</v>
      </c>
      <c r="D41" t="s">
        <v>48</v>
      </c>
    </row>
    <row r="42" spans="1:4" x14ac:dyDescent="0.2">
      <c r="A42" t="s">
        <v>30</v>
      </c>
      <c r="B42" t="s">
        <v>31</v>
      </c>
      <c r="C42" t="s">
        <v>51</v>
      </c>
      <c r="D42" t="s">
        <v>50</v>
      </c>
    </row>
    <row r="43" spans="1:4" x14ac:dyDescent="0.2">
      <c r="A43" t="s">
        <v>30</v>
      </c>
      <c r="B43" t="s">
        <v>31</v>
      </c>
      <c r="C43" t="s">
        <v>52</v>
      </c>
      <c r="D43" t="s">
        <v>47</v>
      </c>
    </row>
    <row r="44" spans="1:4" x14ac:dyDescent="0.2">
      <c r="A44" t="s">
        <v>30</v>
      </c>
      <c r="B44" t="s">
        <v>31</v>
      </c>
      <c r="C44" t="s">
        <v>52</v>
      </c>
      <c r="D44" t="s">
        <v>48</v>
      </c>
    </row>
    <row r="45" spans="1:4" x14ac:dyDescent="0.2">
      <c r="A45" t="s">
        <v>30</v>
      </c>
      <c r="B45" t="s">
        <v>31</v>
      </c>
      <c r="C45" t="s">
        <v>52</v>
      </c>
      <c r="D45" t="s">
        <v>50</v>
      </c>
    </row>
    <row r="46" spans="1:4" x14ac:dyDescent="0.2">
      <c r="A46" t="s">
        <v>30</v>
      </c>
      <c r="B46" t="s">
        <v>31</v>
      </c>
      <c r="C46" t="s">
        <v>53</v>
      </c>
      <c r="D46" t="s">
        <v>54</v>
      </c>
    </row>
    <row r="47" spans="1:4" x14ac:dyDescent="0.2">
      <c r="A47" t="s">
        <v>30</v>
      </c>
      <c r="B47" t="s">
        <v>31</v>
      </c>
      <c r="C47" t="s">
        <v>53</v>
      </c>
      <c r="D47" t="s">
        <v>55</v>
      </c>
    </row>
    <row r="48" spans="1:4" x14ac:dyDescent="0.2">
      <c r="A48" t="s">
        <v>30</v>
      </c>
      <c r="B48" t="s">
        <v>31</v>
      </c>
      <c r="C48" t="s">
        <v>53</v>
      </c>
      <c r="D48" t="s">
        <v>56</v>
      </c>
    </row>
    <row r="49" spans="1:4" x14ac:dyDescent="0.2">
      <c r="A49" t="s">
        <v>30</v>
      </c>
      <c r="B49" t="s">
        <v>31</v>
      </c>
      <c r="C49" t="s">
        <v>53</v>
      </c>
      <c r="D49" t="s">
        <v>57</v>
      </c>
    </row>
    <row r="50" spans="1:4" x14ac:dyDescent="0.2">
      <c r="A50" t="s">
        <v>30</v>
      </c>
      <c r="B50" t="s">
        <v>31</v>
      </c>
      <c r="C50" t="s">
        <v>53</v>
      </c>
      <c r="D50" t="s">
        <v>58</v>
      </c>
    </row>
    <row r="51" spans="1:4" x14ac:dyDescent="0.2">
      <c r="A51" t="s">
        <v>30</v>
      </c>
      <c r="B51" t="s">
        <v>31</v>
      </c>
      <c r="C51" t="s">
        <v>53</v>
      </c>
      <c r="D51" t="s">
        <v>59</v>
      </c>
    </row>
    <row r="52" spans="1:4" x14ac:dyDescent="0.2">
      <c r="A52" t="s">
        <v>30</v>
      </c>
      <c r="B52" t="s">
        <v>31</v>
      </c>
      <c r="C52" t="s">
        <v>53</v>
      </c>
      <c r="D52" t="s">
        <v>60</v>
      </c>
    </row>
    <row r="53" spans="1:4" x14ac:dyDescent="0.2">
      <c r="A53" t="s">
        <v>30</v>
      </c>
      <c r="B53" t="s">
        <v>31</v>
      </c>
      <c r="C53" t="s">
        <v>53</v>
      </c>
      <c r="D53" t="s">
        <v>61</v>
      </c>
    </row>
    <row r="54" spans="1:4" x14ac:dyDescent="0.2">
      <c r="A54" t="s">
        <v>30</v>
      </c>
      <c r="B54" t="s">
        <v>31</v>
      </c>
      <c r="C54" t="s">
        <v>53</v>
      </c>
      <c r="D54" t="s">
        <v>62</v>
      </c>
    </row>
    <row r="55" spans="1:4" x14ac:dyDescent="0.2">
      <c r="A55" t="s">
        <v>30</v>
      </c>
      <c r="B55" t="s">
        <v>31</v>
      </c>
      <c r="C55" t="s">
        <v>53</v>
      </c>
      <c r="D55" t="s">
        <v>63</v>
      </c>
    </row>
    <row r="56" spans="1:4" x14ac:dyDescent="0.2">
      <c r="A56" t="s">
        <v>30</v>
      </c>
      <c r="B56" t="s">
        <v>31</v>
      </c>
      <c r="C56" t="s">
        <v>53</v>
      </c>
      <c r="D56" t="s">
        <v>64</v>
      </c>
    </row>
    <row r="57" spans="1:4" x14ac:dyDescent="0.2">
      <c r="A57" t="s">
        <v>30</v>
      </c>
      <c r="B57" t="s">
        <v>31</v>
      </c>
      <c r="C57" t="s">
        <v>53</v>
      </c>
      <c r="D57" t="s">
        <v>65</v>
      </c>
    </row>
    <row r="58" spans="1:4" x14ac:dyDescent="0.2">
      <c r="A58" t="s">
        <v>30</v>
      </c>
      <c r="B58" t="s">
        <v>66</v>
      </c>
      <c r="C58" t="s">
        <v>31</v>
      </c>
      <c r="D58" t="s">
        <v>67</v>
      </c>
    </row>
    <row r="59" spans="1:4" x14ac:dyDescent="0.2">
      <c r="A59" t="s">
        <v>30</v>
      </c>
      <c r="B59" t="s">
        <v>66</v>
      </c>
      <c r="C59" t="s">
        <v>31</v>
      </c>
      <c r="D59" t="s">
        <v>68</v>
      </c>
    </row>
    <row r="60" spans="1:4" x14ac:dyDescent="0.2">
      <c r="A60" t="s">
        <v>30</v>
      </c>
      <c r="B60" t="s">
        <v>66</v>
      </c>
      <c r="C60" t="s">
        <v>31</v>
      </c>
      <c r="D60" t="s">
        <v>69</v>
      </c>
    </row>
    <row r="61" spans="1:4" x14ac:dyDescent="0.2">
      <c r="A61" t="s">
        <v>30</v>
      </c>
      <c r="B61" t="s">
        <v>66</v>
      </c>
      <c r="C61" t="s">
        <v>31</v>
      </c>
      <c r="D61" t="s">
        <v>70</v>
      </c>
    </row>
    <row r="62" spans="1:4" x14ac:dyDescent="0.2">
      <c r="A62" t="s">
        <v>30</v>
      </c>
      <c r="B62" t="s">
        <v>66</v>
      </c>
      <c r="C62" t="s">
        <v>31</v>
      </c>
      <c r="D62" t="s">
        <v>71</v>
      </c>
    </row>
    <row r="63" spans="1:4" x14ac:dyDescent="0.2">
      <c r="A63" t="s">
        <v>30</v>
      </c>
      <c r="B63" t="s">
        <v>66</v>
      </c>
      <c r="C63" t="s">
        <v>31</v>
      </c>
      <c r="D63" t="s">
        <v>72</v>
      </c>
    </row>
    <row r="64" spans="1:4" x14ac:dyDescent="0.2">
      <c r="A64" t="s">
        <v>30</v>
      </c>
      <c r="B64" t="s">
        <v>66</v>
      </c>
      <c r="C64" t="s">
        <v>31</v>
      </c>
      <c r="D64" t="s">
        <v>73</v>
      </c>
    </row>
    <row r="65" spans="1:4" x14ac:dyDescent="0.2">
      <c r="A65" t="s">
        <v>30</v>
      </c>
      <c r="B65" t="s">
        <v>66</v>
      </c>
      <c r="C65" t="s">
        <v>31</v>
      </c>
      <c r="D65" t="s">
        <v>74</v>
      </c>
    </row>
    <row r="66" spans="1:4" x14ac:dyDescent="0.2">
      <c r="A66" t="s">
        <v>30</v>
      </c>
      <c r="B66" t="s">
        <v>66</v>
      </c>
      <c r="C66" t="s">
        <v>31</v>
      </c>
      <c r="D66" t="s">
        <v>75</v>
      </c>
    </row>
    <row r="67" spans="1:4" x14ac:dyDescent="0.2">
      <c r="A67" t="s">
        <v>30</v>
      </c>
      <c r="B67" t="s">
        <v>66</v>
      </c>
      <c r="C67" t="s">
        <v>31</v>
      </c>
      <c r="D67" t="s">
        <v>76</v>
      </c>
    </row>
    <row r="68" spans="1:4" x14ac:dyDescent="0.2">
      <c r="A68" t="s">
        <v>30</v>
      </c>
      <c r="B68" t="s">
        <v>66</v>
      </c>
      <c r="C68" t="s">
        <v>31</v>
      </c>
      <c r="D68" t="s">
        <v>77</v>
      </c>
    </row>
    <row r="69" spans="1:4" x14ac:dyDescent="0.2">
      <c r="A69" t="s">
        <v>30</v>
      </c>
      <c r="B69" t="s">
        <v>66</v>
      </c>
      <c r="C69" t="s">
        <v>31</v>
      </c>
      <c r="D69" t="s">
        <v>78</v>
      </c>
    </row>
    <row r="70" spans="1:4" x14ac:dyDescent="0.2">
      <c r="A70" t="s">
        <v>30</v>
      </c>
      <c r="B70" t="s">
        <v>66</v>
      </c>
      <c r="C70" t="s">
        <v>31</v>
      </c>
      <c r="D70" t="s">
        <v>79</v>
      </c>
    </row>
    <row r="71" spans="1:4" x14ac:dyDescent="0.2">
      <c r="A71" t="s">
        <v>30</v>
      </c>
      <c r="B71" t="s">
        <v>66</v>
      </c>
      <c r="C71" t="s">
        <v>31</v>
      </c>
      <c r="D71" t="s">
        <v>80</v>
      </c>
    </row>
    <row r="72" spans="1:4" x14ac:dyDescent="0.2">
      <c r="A72" t="s">
        <v>30</v>
      </c>
      <c r="B72" t="s">
        <v>66</v>
      </c>
      <c r="C72" t="s">
        <v>31</v>
      </c>
      <c r="D72" t="s">
        <v>81</v>
      </c>
    </row>
    <row r="73" spans="1:4" x14ac:dyDescent="0.2">
      <c r="A73" t="s">
        <v>30</v>
      </c>
      <c r="B73" t="s">
        <v>66</v>
      </c>
      <c r="C73" t="s">
        <v>31</v>
      </c>
      <c r="D73" t="s">
        <v>82</v>
      </c>
    </row>
    <row r="74" spans="1:4" x14ac:dyDescent="0.2">
      <c r="A74" t="s">
        <v>30</v>
      </c>
      <c r="B74" t="s">
        <v>66</v>
      </c>
      <c r="C74" t="s">
        <v>31</v>
      </c>
      <c r="D74" t="s">
        <v>83</v>
      </c>
    </row>
    <row r="75" spans="1:4" x14ac:dyDescent="0.2">
      <c r="A75" t="s">
        <v>30</v>
      </c>
      <c r="B75" t="s">
        <v>66</v>
      </c>
      <c r="C75" t="s">
        <v>31</v>
      </c>
      <c r="D75" t="s">
        <v>84</v>
      </c>
    </row>
    <row r="76" spans="1:4" x14ac:dyDescent="0.2">
      <c r="A76" t="s">
        <v>30</v>
      </c>
      <c r="B76" t="s">
        <v>66</v>
      </c>
      <c r="C76" t="s">
        <v>85</v>
      </c>
      <c r="D76" t="s">
        <v>86</v>
      </c>
    </row>
    <row r="77" spans="1:4" x14ac:dyDescent="0.2">
      <c r="A77" t="s">
        <v>30</v>
      </c>
      <c r="B77" t="s">
        <v>66</v>
      </c>
      <c r="C77" t="s">
        <v>85</v>
      </c>
      <c r="D77" t="s">
        <v>87</v>
      </c>
    </row>
    <row r="78" spans="1:4" x14ac:dyDescent="0.2">
      <c r="A78" t="s">
        <v>30</v>
      </c>
      <c r="B78" t="s">
        <v>66</v>
      </c>
      <c r="C78" t="s">
        <v>85</v>
      </c>
      <c r="D78" t="s">
        <v>88</v>
      </c>
    </row>
    <row r="79" spans="1:4" x14ac:dyDescent="0.2">
      <c r="A79" t="s">
        <v>30</v>
      </c>
      <c r="B79" t="s">
        <v>66</v>
      </c>
      <c r="C79" t="s">
        <v>89</v>
      </c>
      <c r="D79" t="s">
        <v>47</v>
      </c>
    </row>
    <row r="80" spans="1:4" x14ac:dyDescent="0.2">
      <c r="A80" t="s">
        <v>30</v>
      </c>
      <c r="B80" t="s">
        <v>66</v>
      </c>
      <c r="C80" t="s">
        <v>89</v>
      </c>
      <c r="D80" t="s">
        <v>48</v>
      </c>
    </row>
    <row r="81" spans="1:4" x14ac:dyDescent="0.2">
      <c r="A81" t="s">
        <v>30</v>
      </c>
      <c r="B81" t="s">
        <v>66</v>
      </c>
      <c r="C81" t="s">
        <v>89</v>
      </c>
      <c r="D81" t="s">
        <v>49</v>
      </c>
    </row>
    <row r="82" spans="1:4" x14ac:dyDescent="0.2">
      <c r="A82" t="s">
        <v>30</v>
      </c>
      <c r="B82" t="s">
        <v>66</v>
      </c>
      <c r="C82" t="s">
        <v>89</v>
      </c>
      <c r="D82" t="s">
        <v>50</v>
      </c>
    </row>
    <row r="83" spans="1:4" x14ac:dyDescent="0.2">
      <c r="A83" t="s">
        <v>30</v>
      </c>
      <c r="B83" t="s">
        <v>66</v>
      </c>
      <c r="C83" t="s">
        <v>90</v>
      </c>
      <c r="D83" t="s">
        <v>54</v>
      </c>
    </row>
    <row r="84" spans="1:4" x14ac:dyDescent="0.2">
      <c r="A84" t="s">
        <v>30</v>
      </c>
      <c r="B84" t="s">
        <v>66</v>
      </c>
      <c r="C84" t="s">
        <v>90</v>
      </c>
      <c r="D84" t="s">
        <v>55</v>
      </c>
    </row>
    <row r="85" spans="1:4" x14ac:dyDescent="0.2">
      <c r="A85" t="s">
        <v>30</v>
      </c>
      <c r="B85" t="s">
        <v>66</v>
      </c>
      <c r="C85" t="s">
        <v>90</v>
      </c>
      <c r="D85" t="s">
        <v>56</v>
      </c>
    </row>
    <row r="86" spans="1:4" x14ac:dyDescent="0.2">
      <c r="A86" t="s">
        <v>30</v>
      </c>
      <c r="B86" t="s">
        <v>66</v>
      </c>
      <c r="C86" t="s">
        <v>90</v>
      </c>
      <c r="D86" t="s">
        <v>57</v>
      </c>
    </row>
    <row r="87" spans="1:4" x14ac:dyDescent="0.2">
      <c r="A87" t="s">
        <v>30</v>
      </c>
      <c r="B87" t="s">
        <v>66</v>
      </c>
      <c r="C87" t="s">
        <v>90</v>
      </c>
      <c r="D87" t="s">
        <v>58</v>
      </c>
    </row>
    <row r="88" spans="1:4" x14ac:dyDescent="0.2">
      <c r="A88" t="s">
        <v>30</v>
      </c>
      <c r="B88" t="s">
        <v>66</v>
      </c>
      <c r="C88" t="s">
        <v>90</v>
      </c>
      <c r="D88" t="s">
        <v>59</v>
      </c>
    </row>
    <row r="89" spans="1:4" x14ac:dyDescent="0.2">
      <c r="A89" t="s">
        <v>30</v>
      </c>
      <c r="B89" t="s">
        <v>66</v>
      </c>
      <c r="C89" t="s">
        <v>90</v>
      </c>
      <c r="D89" t="s">
        <v>60</v>
      </c>
    </row>
    <row r="90" spans="1:4" x14ac:dyDescent="0.2">
      <c r="A90" t="s">
        <v>30</v>
      </c>
      <c r="B90" t="s">
        <v>66</v>
      </c>
      <c r="C90" t="s">
        <v>90</v>
      </c>
      <c r="D90" t="s">
        <v>61</v>
      </c>
    </row>
    <row r="91" spans="1:4" x14ac:dyDescent="0.2">
      <c r="A91" t="s">
        <v>30</v>
      </c>
      <c r="B91" t="s">
        <v>66</v>
      </c>
      <c r="C91" t="s">
        <v>90</v>
      </c>
      <c r="D91" t="s">
        <v>64</v>
      </c>
    </row>
    <row r="92" spans="1:4" x14ac:dyDescent="0.2">
      <c r="A92" t="s">
        <v>30</v>
      </c>
      <c r="B92" t="s">
        <v>66</v>
      </c>
      <c r="C92" t="s">
        <v>90</v>
      </c>
      <c r="D92" t="s">
        <v>65</v>
      </c>
    </row>
    <row r="93" spans="1:4" x14ac:dyDescent="0.2">
      <c r="A93" t="s">
        <v>30</v>
      </c>
      <c r="B93" t="s">
        <v>66</v>
      </c>
      <c r="C93" t="s">
        <v>90</v>
      </c>
      <c r="D93" t="s">
        <v>91</v>
      </c>
    </row>
    <row r="94" spans="1:4" x14ac:dyDescent="0.2">
      <c r="A94" t="s">
        <v>30</v>
      </c>
      <c r="B94" t="s">
        <v>66</v>
      </c>
      <c r="C94" t="s">
        <v>92</v>
      </c>
      <c r="D94" t="s">
        <v>93</v>
      </c>
    </row>
    <row r="95" spans="1:4" x14ac:dyDescent="0.2">
      <c r="A95" t="s">
        <v>30</v>
      </c>
      <c r="B95" t="s">
        <v>66</v>
      </c>
      <c r="C95" t="s">
        <v>92</v>
      </c>
      <c r="D95" t="s">
        <v>94</v>
      </c>
    </row>
    <row r="96" spans="1:4" x14ac:dyDescent="0.2">
      <c r="A96" t="s">
        <v>30</v>
      </c>
      <c r="B96" t="s">
        <v>66</v>
      </c>
      <c r="C96" t="s">
        <v>92</v>
      </c>
      <c r="D96" t="s">
        <v>95</v>
      </c>
    </row>
    <row r="97" spans="1:4" x14ac:dyDescent="0.2">
      <c r="A97" t="s">
        <v>30</v>
      </c>
      <c r="B97" t="s">
        <v>66</v>
      </c>
      <c r="C97" t="s">
        <v>96</v>
      </c>
      <c r="D97" t="s">
        <v>93</v>
      </c>
    </row>
    <row r="98" spans="1:4" x14ac:dyDescent="0.2">
      <c r="A98" t="s">
        <v>30</v>
      </c>
      <c r="B98" t="s">
        <v>66</v>
      </c>
      <c r="C98" t="s">
        <v>96</v>
      </c>
      <c r="D98" t="s">
        <v>97</v>
      </c>
    </row>
    <row r="99" spans="1:4" x14ac:dyDescent="0.2">
      <c r="A99" t="s">
        <v>30</v>
      </c>
      <c r="B99" t="s">
        <v>66</v>
      </c>
      <c r="C99" t="s">
        <v>96</v>
      </c>
      <c r="D99" t="s">
        <v>98</v>
      </c>
    </row>
    <row r="100" spans="1:4" x14ac:dyDescent="0.2">
      <c r="A100" t="s">
        <v>30</v>
      </c>
      <c r="B100" t="s">
        <v>66</v>
      </c>
      <c r="C100" t="s">
        <v>99</v>
      </c>
      <c r="D100" t="s">
        <v>93</v>
      </c>
    </row>
    <row r="101" spans="1:4" x14ac:dyDescent="0.2">
      <c r="A101" t="s">
        <v>30</v>
      </c>
      <c r="B101" t="s">
        <v>66</v>
      </c>
      <c r="C101" t="s">
        <v>99</v>
      </c>
      <c r="D101" t="s">
        <v>100</v>
      </c>
    </row>
    <row r="102" spans="1:4" x14ac:dyDescent="0.2">
      <c r="A102" t="s">
        <v>30</v>
      </c>
      <c r="B102" t="s">
        <v>66</v>
      </c>
      <c r="C102" t="s">
        <v>99</v>
      </c>
      <c r="D102" t="s">
        <v>101</v>
      </c>
    </row>
    <row r="103" spans="1:4" x14ac:dyDescent="0.2">
      <c r="A103" t="s">
        <v>30</v>
      </c>
      <c r="B103" t="s">
        <v>66</v>
      </c>
      <c r="C103" t="s">
        <v>102</v>
      </c>
      <c r="D103" t="s">
        <v>103</v>
      </c>
    </row>
    <row r="104" spans="1:4" x14ac:dyDescent="0.2">
      <c r="A104" t="s">
        <v>30</v>
      </c>
      <c r="B104" t="s">
        <v>66</v>
      </c>
      <c r="C104" t="s">
        <v>102</v>
      </c>
      <c r="D104" t="s">
        <v>104</v>
      </c>
    </row>
    <row r="105" spans="1:4" x14ac:dyDescent="0.2">
      <c r="A105" t="s">
        <v>30</v>
      </c>
      <c r="B105" t="s">
        <v>66</v>
      </c>
      <c r="C105" t="s">
        <v>102</v>
      </c>
      <c r="D105" t="s">
        <v>105</v>
      </c>
    </row>
    <row r="106" spans="1:4" x14ac:dyDescent="0.2">
      <c r="A106" t="s">
        <v>30</v>
      </c>
      <c r="B106" t="s">
        <v>66</v>
      </c>
      <c r="C106" t="s">
        <v>102</v>
      </c>
      <c r="D106" t="s">
        <v>106</v>
      </c>
    </row>
    <row r="107" spans="1:4" x14ac:dyDescent="0.2">
      <c r="A107" t="s">
        <v>30</v>
      </c>
      <c r="B107" t="s">
        <v>66</v>
      </c>
      <c r="C107" t="s">
        <v>102</v>
      </c>
      <c r="D107" t="s">
        <v>107</v>
      </c>
    </row>
    <row r="108" spans="1:4" x14ac:dyDescent="0.2">
      <c r="A108" t="s">
        <v>30</v>
      </c>
      <c r="B108" t="s">
        <v>66</v>
      </c>
      <c r="C108" t="s">
        <v>102</v>
      </c>
      <c r="D108" t="s">
        <v>108</v>
      </c>
    </row>
    <row r="109" spans="1:4" ht="25.5" x14ac:dyDescent="0.2">
      <c r="A109" t="s">
        <v>30</v>
      </c>
      <c r="B109" t="s">
        <v>66</v>
      </c>
      <c r="C109" t="s">
        <v>109</v>
      </c>
      <c r="D109" t="s">
        <v>110</v>
      </c>
    </row>
    <row r="110" spans="1:4" ht="25.5" x14ac:dyDescent="0.2">
      <c r="A110" t="s">
        <v>30</v>
      </c>
      <c r="B110" t="s">
        <v>66</v>
      </c>
      <c r="C110" t="s">
        <v>109</v>
      </c>
      <c r="D110" t="s">
        <v>111</v>
      </c>
    </row>
    <row r="111" spans="1:4" ht="25.5" x14ac:dyDescent="0.2">
      <c r="A111" t="s">
        <v>30</v>
      </c>
      <c r="B111" t="s">
        <v>66</v>
      </c>
      <c r="C111" t="s">
        <v>109</v>
      </c>
      <c r="D111" t="s">
        <v>105</v>
      </c>
    </row>
    <row r="112" spans="1:4" ht="25.5" x14ac:dyDescent="0.2">
      <c r="A112" t="s">
        <v>30</v>
      </c>
      <c r="B112" t="s">
        <v>66</v>
      </c>
      <c r="C112" t="s">
        <v>109</v>
      </c>
      <c r="D112" t="s">
        <v>106</v>
      </c>
    </row>
    <row r="113" spans="1:4" ht="25.5" x14ac:dyDescent="0.2">
      <c r="A113" t="s">
        <v>30</v>
      </c>
      <c r="B113" t="s">
        <v>66</v>
      </c>
      <c r="C113" t="s">
        <v>109</v>
      </c>
      <c r="D113" t="s">
        <v>108</v>
      </c>
    </row>
    <row r="114" spans="1:4" x14ac:dyDescent="0.2">
      <c r="A114" t="s">
        <v>30</v>
      </c>
      <c r="B114" t="s">
        <v>66</v>
      </c>
      <c r="C114" t="s">
        <v>112</v>
      </c>
      <c r="D114" t="s">
        <v>113</v>
      </c>
    </row>
    <row r="115" spans="1:4" x14ac:dyDescent="0.2">
      <c r="A115" t="s">
        <v>30</v>
      </c>
      <c r="B115" t="s">
        <v>66</v>
      </c>
      <c r="C115" t="s">
        <v>112</v>
      </c>
      <c r="D115" t="s">
        <v>114</v>
      </c>
    </row>
    <row r="116" spans="1:4" ht="25.5" x14ac:dyDescent="0.2">
      <c r="A116" t="s">
        <v>30</v>
      </c>
      <c r="B116" t="s">
        <v>66</v>
      </c>
      <c r="D116" t="s">
        <v>115</v>
      </c>
    </row>
    <row r="117" spans="1:4" ht="25.5" x14ac:dyDescent="0.2">
      <c r="A117" t="s">
        <v>30</v>
      </c>
      <c r="B117" t="s">
        <v>66</v>
      </c>
      <c r="C117" t="s">
        <v>116</v>
      </c>
      <c r="D117" t="s">
        <v>117</v>
      </c>
    </row>
    <row r="118" spans="1:4" ht="25.5" x14ac:dyDescent="0.2">
      <c r="A118" t="s">
        <v>30</v>
      </c>
      <c r="B118" t="s">
        <v>66</v>
      </c>
      <c r="C118" t="s">
        <v>116</v>
      </c>
      <c r="D118" t="s">
        <v>85</v>
      </c>
    </row>
    <row r="119" spans="1:4" ht="25.5" x14ac:dyDescent="0.2">
      <c r="A119" t="s">
        <v>30</v>
      </c>
      <c r="B119" t="s">
        <v>66</v>
      </c>
      <c r="C119" t="s">
        <v>116</v>
      </c>
      <c r="D119" t="s">
        <v>118</v>
      </c>
    </row>
    <row r="120" spans="1:4" ht="25.5" x14ac:dyDescent="0.2">
      <c r="A120" t="s">
        <v>30</v>
      </c>
      <c r="B120" t="s">
        <v>66</v>
      </c>
      <c r="C120" t="s">
        <v>116</v>
      </c>
      <c r="D120" t="s">
        <v>119</v>
      </c>
    </row>
    <row r="121" spans="1:4" x14ac:dyDescent="0.2">
      <c r="A121" t="s">
        <v>30</v>
      </c>
      <c r="B121" t="s">
        <v>120</v>
      </c>
      <c r="D121" t="s">
        <v>121</v>
      </c>
    </row>
    <row r="122" spans="1:4" x14ac:dyDescent="0.2">
      <c r="A122" t="s">
        <v>30</v>
      </c>
      <c r="B122" t="s">
        <v>120</v>
      </c>
      <c r="C122" t="s">
        <v>122</v>
      </c>
      <c r="D122" t="s">
        <v>93</v>
      </c>
    </row>
    <row r="123" spans="1:4" x14ac:dyDescent="0.2">
      <c r="A123" t="s">
        <v>30</v>
      </c>
      <c r="B123" t="s">
        <v>120</v>
      </c>
      <c r="C123" t="s">
        <v>122</v>
      </c>
      <c r="D123" t="s">
        <v>123</v>
      </c>
    </row>
    <row r="124" spans="1:4" x14ac:dyDescent="0.2">
      <c r="A124" t="s">
        <v>30</v>
      </c>
      <c r="B124" t="s">
        <v>120</v>
      </c>
      <c r="C124" t="s">
        <v>122</v>
      </c>
      <c r="D124" t="s">
        <v>124</v>
      </c>
    </row>
    <row r="125" spans="1:4" x14ac:dyDescent="0.2">
      <c r="A125" t="s">
        <v>30</v>
      </c>
      <c r="B125" t="s">
        <v>120</v>
      </c>
      <c r="C125" t="s">
        <v>122</v>
      </c>
      <c r="D125" t="s">
        <v>125</v>
      </c>
    </row>
    <row r="126" spans="1:4" x14ac:dyDescent="0.2">
      <c r="A126" t="s">
        <v>30</v>
      </c>
      <c r="B126" t="s">
        <v>120</v>
      </c>
      <c r="C126" t="s">
        <v>126</v>
      </c>
      <c r="D126" t="s">
        <v>93</v>
      </c>
    </row>
    <row r="127" spans="1:4" x14ac:dyDescent="0.2">
      <c r="A127" t="s">
        <v>30</v>
      </c>
      <c r="B127" t="s">
        <v>120</v>
      </c>
      <c r="C127" t="s">
        <v>126</v>
      </c>
      <c r="D127" t="s">
        <v>97</v>
      </c>
    </row>
    <row r="128" spans="1:4" x14ac:dyDescent="0.2">
      <c r="A128" t="s">
        <v>30</v>
      </c>
      <c r="B128" t="s">
        <v>120</v>
      </c>
      <c r="C128" t="s">
        <v>126</v>
      </c>
      <c r="D128" t="s">
        <v>98</v>
      </c>
    </row>
    <row r="129" spans="1:4" x14ac:dyDescent="0.2">
      <c r="A129" t="s">
        <v>30</v>
      </c>
      <c r="B129" t="s">
        <v>120</v>
      </c>
      <c r="D129" t="s">
        <v>127</v>
      </c>
    </row>
    <row r="130" spans="1:4" x14ac:dyDescent="0.2">
      <c r="A130" t="s">
        <v>30</v>
      </c>
      <c r="B130" t="s">
        <v>120</v>
      </c>
      <c r="C130" t="s">
        <v>89</v>
      </c>
      <c r="D130" t="s">
        <v>47</v>
      </c>
    </row>
    <row r="131" spans="1:4" x14ac:dyDescent="0.2">
      <c r="A131" t="s">
        <v>30</v>
      </c>
      <c r="B131" t="s">
        <v>120</v>
      </c>
      <c r="C131" t="s">
        <v>89</v>
      </c>
      <c r="D131" t="s">
        <v>48</v>
      </c>
    </row>
    <row r="132" spans="1:4" x14ac:dyDescent="0.2">
      <c r="A132" t="s">
        <v>30</v>
      </c>
      <c r="B132" t="s">
        <v>120</v>
      </c>
      <c r="C132" t="s">
        <v>89</v>
      </c>
      <c r="D132" t="s">
        <v>49</v>
      </c>
    </row>
    <row r="133" spans="1:4" x14ac:dyDescent="0.2">
      <c r="A133" t="s">
        <v>30</v>
      </c>
      <c r="B133" t="s">
        <v>120</v>
      </c>
      <c r="C133" t="s">
        <v>89</v>
      </c>
      <c r="D133" t="s">
        <v>50</v>
      </c>
    </row>
    <row r="134" spans="1:4" x14ac:dyDescent="0.2">
      <c r="A134" t="s">
        <v>30</v>
      </c>
      <c r="B134" t="s">
        <v>120</v>
      </c>
      <c r="C134" t="s">
        <v>90</v>
      </c>
      <c r="D134" t="s">
        <v>54</v>
      </c>
    </row>
    <row r="135" spans="1:4" x14ac:dyDescent="0.2">
      <c r="A135" t="s">
        <v>30</v>
      </c>
      <c r="B135" t="s">
        <v>120</v>
      </c>
      <c r="C135" t="s">
        <v>90</v>
      </c>
      <c r="D135" t="s">
        <v>55</v>
      </c>
    </row>
    <row r="136" spans="1:4" x14ac:dyDescent="0.2">
      <c r="A136" t="s">
        <v>30</v>
      </c>
      <c r="B136" t="s">
        <v>120</v>
      </c>
      <c r="C136" t="s">
        <v>90</v>
      </c>
      <c r="D136" t="s">
        <v>56</v>
      </c>
    </row>
    <row r="137" spans="1:4" x14ac:dyDescent="0.2">
      <c r="A137" t="s">
        <v>30</v>
      </c>
      <c r="B137" t="s">
        <v>120</v>
      </c>
      <c r="C137" t="s">
        <v>90</v>
      </c>
      <c r="D137" t="s">
        <v>57</v>
      </c>
    </row>
    <row r="138" spans="1:4" x14ac:dyDescent="0.2">
      <c r="A138" t="s">
        <v>30</v>
      </c>
      <c r="B138" t="s">
        <v>120</v>
      </c>
      <c r="C138" t="s">
        <v>90</v>
      </c>
      <c r="D138" t="s">
        <v>58</v>
      </c>
    </row>
    <row r="139" spans="1:4" x14ac:dyDescent="0.2">
      <c r="A139" t="s">
        <v>30</v>
      </c>
      <c r="B139" t="s">
        <v>120</v>
      </c>
      <c r="C139" t="s">
        <v>90</v>
      </c>
      <c r="D139" t="s">
        <v>59</v>
      </c>
    </row>
    <row r="140" spans="1:4" x14ac:dyDescent="0.2">
      <c r="A140" t="s">
        <v>30</v>
      </c>
      <c r="B140" t="s">
        <v>120</v>
      </c>
      <c r="C140" t="s">
        <v>90</v>
      </c>
      <c r="D140" t="s">
        <v>60</v>
      </c>
    </row>
    <row r="141" spans="1:4" x14ac:dyDescent="0.2">
      <c r="A141" t="s">
        <v>30</v>
      </c>
      <c r="B141" t="s">
        <v>120</v>
      </c>
      <c r="C141" t="s">
        <v>90</v>
      </c>
      <c r="D141" t="s">
        <v>61</v>
      </c>
    </row>
    <row r="142" spans="1:4" x14ac:dyDescent="0.2">
      <c r="A142" t="s">
        <v>30</v>
      </c>
      <c r="B142" t="s">
        <v>120</v>
      </c>
      <c r="C142" t="s">
        <v>90</v>
      </c>
      <c r="D142" t="s">
        <v>64</v>
      </c>
    </row>
    <row r="143" spans="1:4" x14ac:dyDescent="0.2">
      <c r="A143" t="s">
        <v>30</v>
      </c>
      <c r="B143" t="s">
        <v>120</v>
      </c>
      <c r="C143" t="s">
        <v>90</v>
      </c>
      <c r="D143" t="s">
        <v>65</v>
      </c>
    </row>
    <row r="144" spans="1:4" x14ac:dyDescent="0.2">
      <c r="A144" t="s">
        <v>30</v>
      </c>
      <c r="B144" t="s">
        <v>120</v>
      </c>
      <c r="C144" t="s">
        <v>128</v>
      </c>
    </row>
    <row r="145" spans="1:4" x14ac:dyDescent="0.2">
      <c r="A145" t="s">
        <v>30</v>
      </c>
      <c r="B145" t="s">
        <v>120</v>
      </c>
      <c r="C145" t="s">
        <v>102</v>
      </c>
      <c r="D145" t="s">
        <v>103</v>
      </c>
    </row>
    <row r="146" spans="1:4" x14ac:dyDescent="0.2">
      <c r="A146" t="s">
        <v>30</v>
      </c>
      <c r="B146" t="s">
        <v>120</v>
      </c>
      <c r="C146" t="s">
        <v>102</v>
      </c>
      <c r="D146" t="s">
        <v>104</v>
      </c>
    </row>
    <row r="147" spans="1:4" x14ac:dyDescent="0.2">
      <c r="A147" t="s">
        <v>30</v>
      </c>
      <c r="B147" t="s">
        <v>120</v>
      </c>
      <c r="C147" t="s">
        <v>102</v>
      </c>
      <c r="D147" t="s">
        <v>105</v>
      </c>
    </row>
    <row r="148" spans="1:4" x14ac:dyDescent="0.2">
      <c r="A148" t="s">
        <v>30</v>
      </c>
      <c r="B148" t="s">
        <v>120</v>
      </c>
      <c r="C148" t="s">
        <v>102</v>
      </c>
      <c r="D148" t="s">
        <v>106</v>
      </c>
    </row>
    <row r="149" spans="1:4" x14ac:dyDescent="0.2">
      <c r="A149" t="s">
        <v>30</v>
      </c>
      <c r="B149" t="s">
        <v>120</v>
      </c>
      <c r="C149" t="s">
        <v>102</v>
      </c>
      <c r="D149" t="s">
        <v>107</v>
      </c>
    </row>
    <row r="150" spans="1:4" x14ac:dyDescent="0.2">
      <c r="A150" t="s">
        <v>30</v>
      </c>
      <c r="B150" t="s">
        <v>120</v>
      </c>
      <c r="C150" t="s">
        <v>102</v>
      </c>
      <c r="D150" t="s">
        <v>108</v>
      </c>
    </row>
    <row r="151" spans="1:4" ht="25.5" x14ac:dyDescent="0.2">
      <c r="A151" t="s">
        <v>30</v>
      </c>
      <c r="B151" t="s">
        <v>120</v>
      </c>
      <c r="C151" t="s">
        <v>109</v>
      </c>
      <c r="D151" t="s">
        <v>110</v>
      </c>
    </row>
    <row r="152" spans="1:4" ht="25.5" x14ac:dyDescent="0.2">
      <c r="A152" t="s">
        <v>30</v>
      </c>
      <c r="B152" t="s">
        <v>120</v>
      </c>
      <c r="C152" t="s">
        <v>109</v>
      </c>
      <c r="D152" t="s">
        <v>111</v>
      </c>
    </row>
    <row r="153" spans="1:4" ht="25.5" x14ac:dyDescent="0.2">
      <c r="A153" t="s">
        <v>30</v>
      </c>
      <c r="B153" t="s">
        <v>120</v>
      </c>
      <c r="C153" t="s">
        <v>109</v>
      </c>
      <c r="D153" t="s">
        <v>105</v>
      </c>
    </row>
    <row r="154" spans="1:4" ht="25.5" x14ac:dyDescent="0.2">
      <c r="A154" t="s">
        <v>30</v>
      </c>
      <c r="B154" t="s">
        <v>120</v>
      </c>
      <c r="C154" t="s">
        <v>109</v>
      </c>
      <c r="D154" t="s">
        <v>106</v>
      </c>
    </row>
    <row r="155" spans="1:4" ht="25.5" x14ac:dyDescent="0.2">
      <c r="A155" t="s">
        <v>30</v>
      </c>
      <c r="B155" t="s">
        <v>120</v>
      </c>
      <c r="C155" t="s">
        <v>109</v>
      </c>
      <c r="D155" t="s">
        <v>108</v>
      </c>
    </row>
    <row r="156" spans="1:4" x14ac:dyDescent="0.2">
      <c r="A156" t="s">
        <v>30</v>
      </c>
      <c r="B156" t="s">
        <v>120</v>
      </c>
    </row>
    <row r="157" spans="1:4" ht="25.5" x14ac:dyDescent="0.2">
      <c r="A157" t="s">
        <v>30</v>
      </c>
      <c r="B157" t="s">
        <v>120</v>
      </c>
      <c r="D157" t="s">
        <v>129</v>
      </c>
    </row>
    <row r="158" spans="1:4" ht="25.5" x14ac:dyDescent="0.2">
      <c r="A158" t="s">
        <v>30</v>
      </c>
      <c r="B158" t="s">
        <v>120</v>
      </c>
      <c r="C158" t="s">
        <v>130</v>
      </c>
      <c r="D158" t="s">
        <v>131</v>
      </c>
    </row>
    <row r="159" spans="1:4" ht="25.5" x14ac:dyDescent="0.2">
      <c r="A159" t="s">
        <v>30</v>
      </c>
      <c r="B159" t="s">
        <v>120</v>
      </c>
      <c r="C159" t="s">
        <v>130</v>
      </c>
      <c r="D159" t="s">
        <v>132</v>
      </c>
    </row>
    <row r="160" spans="1:4" ht="25.5" x14ac:dyDescent="0.2">
      <c r="A160" t="s">
        <v>30</v>
      </c>
      <c r="B160" t="s">
        <v>120</v>
      </c>
      <c r="C160" t="s">
        <v>130</v>
      </c>
      <c r="D160" t="s">
        <v>85</v>
      </c>
    </row>
    <row r="161" spans="1:4" ht="25.5" x14ac:dyDescent="0.2">
      <c r="A161" t="s">
        <v>30</v>
      </c>
      <c r="B161" t="s">
        <v>120</v>
      </c>
      <c r="C161" t="s">
        <v>130</v>
      </c>
      <c r="D161" t="s">
        <v>133</v>
      </c>
    </row>
    <row r="162" spans="1:4" ht="25.5" x14ac:dyDescent="0.2">
      <c r="A162" t="s">
        <v>30</v>
      </c>
      <c r="B162" t="s">
        <v>120</v>
      </c>
      <c r="C162" t="s">
        <v>130</v>
      </c>
      <c r="D162" t="s">
        <v>134</v>
      </c>
    </row>
    <row r="163" spans="1:4" x14ac:dyDescent="0.2">
      <c r="A163" t="s">
        <v>30</v>
      </c>
      <c r="B163" t="s">
        <v>135</v>
      </c>
      <c r="C163" t="s">
        <v>31</v>
      </c>
      <c r="D163" t="s">
        <v>136</v>
      </c>
    </row>
    <row r="164" spans="1:4" x14ac:dyDescent="0.2">
      <c r="A164" t="s">
        <v>30</v>
      </c>
      <c r="B164" t="s">
        <v>135</v>
      </c>
      <c r="C164" t="s">
        <v>31</v>
      </c>
      <c r="D164" t="s">
        <v>137</v>
      </c>
    </row>
    <row r="165" spans="1:4" x14ac:dyDescent="0.2">
      <c r="A165" t="s">
        <v>30</v>
      </c>
      <c r="B165" t="s">
        <v>135</v>
      </c>
      <c r="C165" t="s">
        <v>31</v>
      </c>
      <c r="D165" t="s">
        <v>138</v>
      </c>
    </row>
    <row r="166" spans="1:4" x14ac:dyDescent="0.2">
      <c r="A166" t="s">
        <v>30</v>
      </c>
      <c r="B166" t="s">
        <v>135</v>
      </c>
      <c r="C166" t="s">
        <v>31</v>
      </c>
      <c r="D166" t="s">
        <v>139</v>
      </c>
    </row>
    <row r="167" spans="1:4" x14ac:dyDescent="0.2">
      <c r="A167" t="s">
        <v>30</v>
      </c>
      <c r="B167" t="s">
        <v>135</v>
      </c>
      <c r="C167" t="s">
        <v>140</v>
      </c>
      <c r="D167" t="s">
        <v>141</v>
      </c>
    </row>
    <row r="168" spans="1:4" x14ac:dyDescent="0.2">
      <c r="A168" t="s">
        <v>30</v>
      </c>
      <c r="B168" t="s">
        <v>135</v>
      </c>
      <c r="C168" t="s">
        <v>140</v>
      </c>
      <c r="D168" t="s">
        <v>142</v>
      </c>
    </row>
    <row r="169" spans="1:4" x14ac:dyDescent="0.2">
      <c r="A169" t="s">
        <v>30</v>
      </c>
      <c r="B169" t="s">
        <v>135</v>
      </c>
      <c r="C169" t="s">
        <v>140</v>
      </c>
      <c r="D169" t="s">
        <v>143</v>
      </c>
    </row>
    <row r="170" spans="1:4" x14ac:dyDescent="0.2">
      <c r="A170" t="s">
        <v>30</v>
      </c>
      <c r="B170" t="s">
        <v>135</v>
      </c>
      <c r="C170" t="s">
        <v>140</v>
      </c>
      <c r="D170" t="s">
        <v>144</v>
      </c>
    </row>
    <row r="171" spans="1:4" x14ac:dyDescent="0.2">
      <c r="A171" t="s">
        <v>30</v>
      </c>
      <c r="B171" t="s">
        <v>135</v>
      </c>
      <c r="C171" t="s">
        <v>140</v>
      </c>
      <c r="D171" t="s">
        <v>145</v>
      </c>
    </row>
    <row r="172" spans="1:4" x14ac:dyDescent="0.2">
      <c r="A172" t="s">
        <v>30</v>
      </c>
      <c r="B172" t="s">
        <v>135</v>
      </c>
      <c r="C172" t="s">
        <v>146</v>
      </c>
      <c r="D172" t="s">
        <v>54</v>
      </c>
    </row>
    <row r="173" spans="1:4" x14ac:dyDescent="0.2">
      <c r="A173" t="s">
        <v>30</v>
      </c>
      <c r="B173" t="s">
        <v>135</v>
      </c>
      <c r="C173" t="s">
        <v>146</v>
      </c>
      <c r="D173" t="s">
        <v>55</v>
      </c>
    </row>
    <row r="174" spans="1:4" x14ac:dyDescent="0.2">
      <c r="A174" t="s">
        <v>30</v>
      </c>
      <c r="B174" t="s">
        <v>135</v>
      </c>
      <c r="C174" t="s">
        <v>146</v>
      </c>
      <c r="D174" t="s">
        <v>147</v>
      </c>
    </row>
    <row r="175" spans="1:4" x14ac:dyDescent="0.2">
      <c r="A175" t="s">
        <v>30</v>
      </c>
      <c r="B175" t="s">
        <v>135</v>
      </c>
      <c r="C175" t="s">
        <v>146</v>
      </c>
      <c r="D175" t="s">
        <v>57</v>
      </c>
    </row>
    <row r="176" spans="1:4" x14ac:dyDescent="0.2">
      <c r="A176" t="s">
        <v>30</v>
      </c>
      <c r="B176" t="s">
        <v>135</v>
      </c>
      <c r="C176" t="s">
        <v>146</v>
      </c>
      <c r="D176" t="s">
        <v>58</v>
      </c>
    </row>
    <row r="177" spans="1:4" x14ac:dyDescent="0.2">
      <c r="A177" t="s">
        <v>30</v>
      </c>
      <c r="B177" t="s">
        <v>135</v>
      </c>
      <c r="C177" t="s">
        <v>146</v>
      </c>
      <c r="D177" t="s">
        <v>59</v>
      </c>
    </row>
    <row r="178" spans="1:4" x14ac:dyDescent="0.2">
      <c r="A178" t="s">
        <v>30</v>
      </c>
      <c r="B178" t="s">
        <v>135</v>
      </c>
      <c r="C178" t="s">
        <v>146</v>
      </c>
      <c r="D178" t="s">
        <v>60</v>
      </c>
    </row>
    <row r="179" spans="1:4" x14ac:dyDescent="0.2">
      <c r="A179" t="s">
        <v>30</v>
      </c>
      <c r="B179" t="s">
        <v>135</v>
      </c>
      <c r="C179" t="s">
        <v>146</v>
      </c>
      <c r="D179" t="s">
        <v>61</v>
      </c>
    </row>
    <row r="180" spans="1:4" x14ac:dyDescent="0.2">
      <c r="A180" t="s">
        <v>30</v>
      </c>
      <c r="B180" t="s">
        <v>135</v>
      </c>
      <c r="C180" t="s">
        <v>146</v>
      </c>
      <c r="D180" t="s">
        <v>148</v>
      </c>
    </row>
    <row r="181" spans="1:4" x14ac:dyDescent="0.2">
      <c r="A181" t="s">
        <v>30</v>
      </c>
      <c r="B181" t="s">
        <v>135</v>
      </c>
      <c r="C181" t="s">
        <v>146</v>
      </c>
      <c r="D181" t="s">
        <v>149</v>
      </c>
    </row>
    <row r="182" spans="1:4" x14ac:dyDescent="0.2">
      <c r="A182" t="s">
        <v>30</v>
      </c>
      <c r="B182" t="s">
        <v>135</v>
      </c>
      <c r="C182" t="s">
        <v>146</v>
      </c>
      <c r="D182" t="s">
        <v>150</v>
      </c>
    </row>
    <row r="183" spans="1:4" x14ac:dyDescent="0.2">
      <c r="A183" t="s">
        <v>30</v>
      </c>
      <c r="B183" t="s">
        <v>135</v>
      </c>
      <c r="C183" t="s">
        <v>90</v>
      </c>
      <c r="D183" t="s">
        <v>54</v>
      </c>
    </row>
    <row r="184" spans="1:4" x14ac:dyDescent="0.2">
      <c r="A184" t="s">
        <v>30</v>
      </c>
      <c r="B184" t="s">
        <v>135</v>
      </c>
      <c r="C184" t="s">
        <v>90</v>
      </c>
      <c r="D184" t="s">
        <v>55</v>
      </c>
    </row>
    <row r="185" spans="1:4" x14ac:dyDescent="0.2">
      <c r="A185" t="s">
        <v>30</v>
      </c>
      <c r="B185" t="s">
        <v>135</v>
      </c>
      <c r="C185" t="s">
        <v>90</v>
      </c>
      <c r="D185" t="s">
        <v>147</v>
      </c>
    </row>
    <row r="186" spans="1:4" x14ac:dyDescent="0.2">
      <c r="A186" t="s">
        <v>30</v>
      </c>
      <c r="B186" t="s">
        <v>135</v>
      </c>
      <c r="C186" t="s">
        <v>90</v>
      </c>
      <c r="D186" t="s">
        <v>56</v>
      </c>
    </row>
    <row r="187" spans="1:4" x14ac:dyDescent="0.2">
      <c r="A187" t="s">
        <v>30</v>
      </c>
      <c r="B187" t="s">
        <v>135</v>
      </c>
      <c r="C187" t="s">
        <v>90</v>
      </c>
      <c r="D187" t="s">
        <v>57</v>
      </c>
    </row>
    <row r="188" spans="1:4" x14ac:dyDescent="0.2">
      <c r="A188" t="s">
        <v>30</v>
      </c>
      <c r="B188" t="s">
        <v>135</v>
      </c>
      <c r="C188" t="s">
        <v>90</v>
      </c>
      <c r="D188" t="s">
        <v>58</v>
      </c>
    </row>
    <row r="189" spans="1:4" x14ac:dyDescent="0.2">
      <c r="A189" t="s">
        <v>30</v>
      </c>
      <c r="B189" t="s">
        <v>135</v>
      </c>
      <c r="C189" t="s">
        <v>90</v>
      </c>
      <c r="D189" t="s">
        <v>59</v>
      </c>
    </row>
    <row r="190" spans="1:4" x14ac:dyDescent="0.2">
      <c r="A190" t="s">
        <v>30</v>
      </c>
      <c r="B190" t="s">
        <v>135</v>
      </c>
      <c r="C190" t="s">
        <v>90</v>
      </c>
      <c r="D190" t="s">
        <v>60</v>
      </c>
    </row>
    <row r="191" spans="1:4" x14ac:dyDescent="0.2">
      <c r="A191" t="s">
        <v>30</v>
      </c>
      <c r="B191" t="s">
        <v>135</v>
      </c>
      <c r="C191" t="s">
        <v>90</v>
      </c>
      <c r="D191" t="s">
        <v>61</v>
      </c>
    </row>
    <row r="192" spans="1:4" x14ac:dyDescent="0.2">
      <c r="A192" t="s">
        <v>30</v>
      </c>
      <c r="B192" t="s">
        <v>135</v>
      </c>
      <c r="C192" t="s">
        <v>90</v>
      </c>
      <c r="D192" t="s">
        <v>151</v>
      </c>
    </row>
    <row r="193" spans="1:4" x14ac:dyDescent="0.2">
      <c r="A193" t="s">
        <v>30</v>
      </c>
      <c r="B193" t="s">
        <v>135</v>
      </c>
      <c r="C193" t="s">
        <v>89</v>
      </c>
      <c r="D193" t="s">
        <v>47</v>
      </c>
    </row>
    <row r="194" spans="1:4" x14ac:dyDescent="0.2">
      <c r="A194" t="s">
        <v>30</v>
      </c>
      <c r="B194" t="s">
        <v>135</v>
      </c>
      <c r="C194" t="s">
        <v>89</v>
      </c>
      <c r="D194" t="s">
        <v>48</v>
      </c>
    </row>
    <row r="195" spans="1:4" x14ac:dyDescent="0.2">
      <c r="A195" t="s">
        <v>30</v>
      </c>
      <c r="B195" t="s">
        <v>135</v>
      </c>
      <c r="C195" t="s">
        <v>89</v>
      </c>
      <c r="D195" t="s">
        <v>49</v>
      </c>
    </row>
    <row r="196" spans="1:4" x14ac:dyDescent="0.2">
      <c r="A196" t="s">
        <v>30</v>
      </c>
      <c r="B196" t="s">
        <v>135</v>
      </c>
      <c r="C196" t="s">
        <v>89</v>
      </c>
      <c r="D196" t="s">
        <v>50</v>
      </c>
    </row>
    <row r="197" spans="1:4" x14ac:dyDescent="0.2">
      <c r="A197" t="s">
        <v>30</v>
      </c>
      <c r="B197" t="s">
        <v>135</v>
      </c>
      <c r="C197" t="s">
        <v>152</v>
      </c>
      <c r="D197" t="s">
        <v>153</v>
      </c>
    </row>
    <row r="198" spans="1:4" x14ac:dyDescent="0.2">
      <c r="A198" t="s">
        <v>30</v>
      </c>
      <c r="B198" t="s">
        <v>135</v>
      </c>
      <c r="C198" t="s">
        <v>152</v>
      </c>
      <c r="D198" t="s">
        <v>97</v>
      </c>
    </row>
    <row r="199" spans="1:4" x14ac:dyDescent="0.2">
      <c r="A199" t="s">
        <v>30</v>
      </c>
      <c r="B199" t="s">
        <v>135</v>
      </c>
      <c r="C199" t="s">
        <v>152</v>
      </c>
      <c r="D199" t="s">
        <v>98</v>
      </c>
    </row>
    <row r="200" spans="1:4" x14ac:dyDescent="0.2">
      <c r="A200" t="s">
        <v>30</v>
      </c>
      <c r="B200" t="s">
        <v>135</v>
      </c>
    </row>
    <row r="201" spans="1:4" x14ac:dyDescent="0.2">
      <c r="A201" t="s">
        <v>30</v>
      </c>
      <c r="B201" t="s">
        <v>135</v>
      </c>
      <c r="C201" t="s">
        <v>154</v>
      </c>
      <c r="D201" t="s">
        <v>93</v>
      </c>
    </row>
    <row r="202" spans="1:4" x14ac:dyDescent="0.2">
      <c r="A202" t="s">
        <v>30</v>
      </c>
      <c r="B202" t="s">
        <v>135</v>
      </c>
      <c r="C202" t="s">
        <v>154</v>
      </c>
      <c r="D202" t="s">
        <v>97</v>
      </c>
    </row>
    <row r="203" spans="1:4" x14ac:dyDescent="0.2">
      <c r="A203" t="s">
        <v>30</v>
      </c>
      <c r="B203" t="s">
        <v>135</v>
      </c>
      <c r="C203" t="s">
        <v>154</v>
      </c>
      <c r="D203" t="s">
        <v>98</v>
      </c>
    </row>
    <row r="204" spans="1:4" x14ac:dyDescent="0.2">
      <c r="A204" t="s">
        <v>30</v>
      </c>
      <c r="B204" t="s">
        <v>135</v>
      </c>
      <c r="C204" t="s">
        <v>155</v>
      </c>
      <c r="D204" t="s">
        <v>156</v>
      </c>
    </row>
    <row r="205" spans="1:4" x14ac:dyDescent="0.2">
      <c r="A205" t="s">
        <v>30</v>
      </c>
      <c r="B205" t="s">
        <v>135</v>
      </c>
      <c r="C205" t="s">
        <v>157</v>
      </c>
      <c r="D205" t="s">
        <v>158</v>
      </c>
    </row>
    <row r="206" spans="1:4" x14ac:dyDescent="0.2">
      <c r="A206" t="s">
        <v>30</v>
      </c>
      <c r="B206" t="s">
        <v>135</v>
      </c>
      <c r="C206" t="s">
        <v>157</v>
      </c>
      <c r="D206" t="s">
        <v>159</v>
      </c>
    </row>
    <row r="207" spans="1:4" x14ac:dyDescent="0.2">
      <c r="A207" t="s">
        <v>30</v>
      </c>
      <c r="B207" t="s">
        <v>135</v>
      </c>
      <c r="C207" t="s">
        <v>157</v>
      </c>
      <c r="D207" t="s">
        <v>160</v>
      </c>
    </row>
    <row r="208" spans="1:4" x14ac:dyDescent="0.2">
      <c r="A208" t="s">
        <v>30</v>
      </c>
      <c r="B208" t="s">
        <v>135</v>
      </c>
      <c r="C208" t="s">
        <v>161</v>
      </c>
    </row>
    <row r="209" spans="1:4" x14ac:dyDescent="0.2">
      <c r="A209" t="s">
        <v>30</v>
      </c>
      <c r="B209" t="s">
        <v>135</v>
      </c>
      <c r="C209" t="s">
        <v>162</v>
      </c>
    </row>
    <row r="210" spans="1:4" x14ac:dyDescent="0.2">
      <c r="A210" t="s">
        <v>30</v>
      </c>
      <c r="B210" t="s">
        <v>135</v>
      </c>
      <c r="C210" t="s">
        <v>163</v>
      </c>
      <c r="D210" t="s">
        <v>164</v>
      </c>
    </row>
    <row r="211" spans="1:4" x14ac:dyDescent="0.2">
      <c r="A211" t="s">
        <v>30</v>
      </c>
      <c r="B211" t="s">
        <v>135</v>
      </c>
      <c r="C211" t="s">
        <v>163</v>
      </c>
      <c r="D211" t="s">
        <v>165</v>
      </c>
    </row>
    <row r="212" spans="1:4" x14ac:dyDescent="0.2">
      <c r="A212" t="s">
        <v>30</v>
      </c>
      <c r="B212" t="s">
        <v>135</v>
      </c>
      <c r="C212" t="s">
        <v>163</v>
      </c>
      <c r="D212" t="s">
        <v>166</v>
      </c>
    </row>
    <row r="213" spans="1:4" x14ac:dyDescent="0.2">
      <c r="A213" t="s">
        <v>30</v>
      </c>
      <c r="B213" t="s">
        <v>135</v>
      </c>
      <c r="C213" t="s">
        <v>167</v>
      </c>
      <c r="D213" t="s">
        <v>153</v>
      </c>
    </row>
    <row r="214" spans="1:4" x14ac:dyDescent="0.2">
      <c r="A214" t="s">
        <v>30</v>
      </c>
      <c r="B214" t="s">
        <v>135</v>
      </c>
      <c r="C214" t="s">
        <v>167</v>
      </c>
      <c r="D214" s="2">
        <v>41115</v>
      </c>
    </row>
    <row r="215" spans="1:4" x14ac:dyDescent="0.2">
      <c r="A215" t="s">
        <v>30</v>
      </c>
      <c r="B215" t="s">
        <v>135</v>
      </c>
      <c r="C215" t="s">
        <v>167</v>
      </c>
      <c r="D215" t="s">
        <v>168</v>
      </c>
    </row>
    <row r="216" spans="1:4" x14ac:dyDescent="0.2">
      <c r="A216" t="s">
        <v>30</v>
      </c>
      <c r="B216" t="s">
        <v>135</v>
      </c>
      <c r="C216" t="s">
        <v>167</v>
      </c>
      <c r="D216" s="2">
        <v>41115</v>
      </c>
    </row>
    <row r="217" spans="1:4" x14ac:dyDescent="0.2">
      <c r="A217" t="s">
        <v>30</v>
      </c>
      <c r="B217" t="s">
        <v>135</v>
      </c>
      <c r="C217" t="s">
        <v>167</v>
      </c>
      <c r="D217" s="2">
        <v>41115</v>
      </c>
    </row>
    <row r="218" spans="1:4" x14ac:dyDescent="0.2">
      <c r="A218" t="s">
        <v>30</v>
      </c>
      <c r="B218" t="s">
        <v>135</v>
      </c>
      <c r="C218" t="s">
        <v>167</v>
      </c>
      <c r="D218" s="2">
        <v>41115</v>
      </c>
    </row>
    <row r="219" spans="1:4" x14ac:dyDescent="0.2">
      <c r="A219" t="s">
        <v>30</v>
      </c>
      <c r="B219" t="s">
        <v>135</v>
      </c>
      <c r="C219" t="s">
        <v>167</v>
      </c>
      <c r="D219" s="2">
        <v>41102</v>
      </c>
    </row>
    <row r="220" spans="1:4" x14ac:dyDescent="0.2">
      <c r="A220" t="s">
        <v>30</v>
      </c>
      <c r="B220" t="s">
        <v>135</v>
      </c>
      <c r="C220" t="s">
        <v>167</v>
      </c>
      <c r="D220" s="2">
        <v>41102</v>
      </c>
    </row>
    <row r="221" spans="1:4" x14ac:dyDescent="0.2">
      <c r="A221" t="s">
        <v>30</v>
      </c>
      <c r="B221" t="s">
        <v>135</v>
      </c>
      <c r="C221" t="s">
        <v>167</v>
      </c>
      <c r="D221" s="3">
        <v>41115.663194444402</v>
      </c>
    </row>
    <row r="222" spans="1:4" x14ac:dyDescent="0.2">
      <c r="A222" t="s">
        <v>30</v>
      </c>
      <c r="B222" t="s">
        <v>135</v>
      </c>
      <c r="C222" t="s">
        <v>167</v>
      </c>
      <c r="D222" s="3">
        <v>41115.663310185198</v>
      </c>
    </row>
    <row r="223" spans="1:4" x14ac:dyDescent="0.2">
      <c r="A223" t="s">
        <v>30</v>
      </c>
      <c r="B223" t="s">
        <v>135</v>
      </c>
      <c r="C223" t="s">
        <v>167</v>
      </c>
      <c r="D223" s="1">
        <v>0.66319444444444398</v>
      </c>
    </row>
    <row r="224" spans="1:4" x14ac:dyDescent="0.2">
      <c r="A224" t="s">
        <v>30</v>
      </c>
      <c r="B224" t="s">
        <v>135</v>
      </c>
      <c r="C224" t="s">
        <v>167</v>
      </c>
      <c r="D224" s="1">
        <v>0.66331018518518503</v>
      </c>
    </row>
    <row r="225" spans="1:4" x14ac:dyDescent="0.2">
      <c r="A225" t="s">
        <v>30</v>
      </c>
      <c r="B225" t="s">
        <v>135</v>
      </c>
      <c r="C225" t="s">
        <v>167</v>
      </c>
      <c r="D225" s="1">
        <v>0.66319444444444398</v>
      </c>
    </row>
    <row r="226" spans="1:4" x14ac:dyDescent="0.2">
      <c r="A226" t="s">
        <v>30</v>
      </c>
      <c r="B226" t="s">
        <v>135</v>
      </c>
      <c r="C226" t="s">
        <v>167</v>
      </c>
      <c r="D226" s="1">
        <v>0.66331018518518503</v>
      </c>
    </row>
    <row r="227" spans="1:4" x14ac:dyDescent="0.2">
      <c r="A227" t="s">
        <v>30</v>
      </c>
      <c r="B227" t="s">
        <v>135</v>
      </c>
      <c r="C227" t="s">
        <v>31</v>
      </c>
      <c r="D227" t="s">
        <v>169</v>
      </c>
    </row>
    <row r="228" spans="1:4" x14ac:dyDescent="0.2">
      <c r="A228" t="s">
        <v>30</v>
      </c>
      <c r="B228" t="s">
        <v>135</v>
      </c>
      <c r="C228" t="s">
        <v>31</v>
      </c>
      <c r="D228" t="s">
        <v>170</v>
      </c>
    </row>
    <row r="229" spans="1:4" x14ac:dyDescent="0.2">
      <c r="A229" t="s">
        <v>30</v>
      </c>
      <c r="B229" t="s">
        <v>135</v>
      </c>
      <c r="C229" t="s">
        <v>31</v>
      </c>
      <c r="D229" t="s">
        <v>171</v>
      </c>
    </row>
    <row r="230" spans="1:4" x14ac:dyDescent="0.2">
      <c r="A230" t="s">
        <v>30</v>
      </c>
      <c r="B230" t="s">
        <v>135</v>
      </c>
      <c r="C230" t="s">
        <v>31</v>
      </c>
      <c r="D230" t="s">
        <v>172</v>
      </c>
    </row>
    <row r="231" spans="1:4" x14ac:dyDescent="0.2">
      <c r="A231" t="s">
        <v>30</v>
      </c>
      <c r="B231" t="s">
        <v>135</v>
      </c>
      <c r="C231" t="s">
        <v>173</v>
      </c>
      <c r="D231" t="s">
        <v>163</v>
      </c>
    </row>
    <row r="232" spans="1:4" ht="25.5" x14ac:dyDescent="0.2">
      <c r="A232" t="s">
        <v>30</v>
      </c>
      <c r="B232" t="s">
        <v>135</v>
      </c>
      <c r="C232" t="s">
        <v>164</v>
      </c>
      <c r="D232" t="s">
        <v>165</v>
      </c>
    </row>
    <row r="233" spans="1:4" ht="25.5" x14ac:dyDescent="0.2">
      <c r="A233" t="s">
        <v>30</v>
      </c>
      <c r="B233" t="s">
        <v>135</v>
      </c>
      <c r="C233" t="s">
        <v>164</v>
      </c>
      <c r="D233" t="s">
        <v>166</v>
      </c>
    </row>
    <row r="234" spans="1:4" x14ac:dyDescent="0.2">
      <c r="A234" t="s">
        <v>30</v>
      </c>
      <c r="B234" t="s">
        <v>135</v>
      </c>
      <c r="C234" t="s">
        <v>167</v>
      </c>
      <c r="D234" t="s">
        <v>153</v>
      </c>
    </row>
    <row r="235" spans="1:4" x14ac:dyDescent="0.2">
      <c r="A235" t="s">
        <v>30</v>
      </c>
      <c r="B235" t="s">
        <v>135</v>
      </c>
      <c r="C235" t="s">
        <v>167</v>
      </c>
      <c r="D235" s="2">
        <v>41115</v>
      </c>
    </row>
    <row r="236" spans="1:4" x14ac:dyDescent="0.2">
      <c r="A236" t="s">
        <v>30</v>
      </c>
      <c r="B236" t="s">
        <v>135</v>
      </c>
      <c r="C236" t="s">
        <v>167</v>
      </c>
      <c r="D236" t="s">
        <v>168</v>
      </c>
    </row>
    <row r="237" spans="1:4" x14ac:dyDescent="0.2">
      <c r="A237" t="s">
        <v>30</v>
      </c>
      <c r="B237" t="s">
        <v>135</v>
      </c>
      <c r="C237" t="s">
        <v>167</v>
      </c>
      <c r="D237" s="2">
        <v>41115</v>
      </c>
    </row>
    <row r="238" spans="1:4" x14ac:dyDescent="0.2">
      <c r="A238" t="s">
        <v>30</v>
      </c>
      <c r="B238" t="s">
        <v>135</v>
      </c>
      <c r="C238" t="s">
        <v>167</v>
      </c>
      <c r="D238" s="2">
        <v>41115</v>
      </c>
    </row>
    <row r="239" spans="1:4" x14ac:dyDescent="0.2">
      <c r="A239" t="s">
        <v>30</v>
      </c>
      <c r="B239" t="s">
        <v>135</v>
      </c>
      <c r="C239" t="s">
        <v>167</v>
      </c>
      <c r="D239" s="2">
        <v>41115</v>
      </c>
    </row>
    <row r="240" spans="1:4" x14ac:dyDescent="0.2">
      <c r="A240" t="s">
        <v>30</v>
      </c>
      <c r="B240" t="s">
        <v>135</v>
      </c>
      <c r="C240" t="s">
        <v>167</v>
      </c>
      <c r="D240" s="2">
        <v>41102</v>
      </c>
    </row>
    <row r="241" spans="1:4" x14ac:dyDescent="0.2">
      <c r="A241" t="s">
        <v>30</v>
      </c>
      <c r="B241" t="s">
        <v>135</v>
      </c>
      <c r="C241" t="s">
        <v>167</v>
      </c>
      <c r="D241" s="2">
        <v>41102</v>
      </c>
    </row>
    <row r="242" spans="1:4" x14ac:dyDescent="0.2">
      <c r="A242" t="s">
        <v>30</v>
      </c>
      <c r="B242" t="s">
        <v>135</v>
      </c>
      <c r="C242" t="s">
        <v>167</v>
      </c>
      <c r="D242" s="3">
        <v>41115.663194444402</v>
      </c>
    </row>
    <row r="243" spans="1:4" x14ac:dyDescent="0.2">
      <c r="A243" t="s">
        <v>30</v>
      </c>
      <c r="B243" t="s">
        <v>135</v>
      </c>
      <c r="C243" t="s">
        <v>167</v>
      </c>
      <c r="D243" s="3">
        <v>41115.663310185198</v>
      </c>
    </row>
    <row r="244" spans="1:4" x14ac:dyDescent="0.2">
      <c r="A244" t="s">
        <v>30</v>
      </c>
      <c r="B244" t="s">
        <v>135</v>
      </c>
      <c r="C244" t="s">
        <v>167</v>
      </c>
      <c r="D244" s="1">
        <v>0.66319444444444398</v>
      </c>
    </row>
    <row r="245" spans="1:4" x14ac:dyDescent="0.2">
      <c r="A245" t="s">
        <v>30</v>
      </c>
      <c r="B245" t="s">
        <v>135</v>
      </c>
      <c r="C245" t="s">
        <v>167</v>
      </c>
      <c r="D245" s="1">
        <v>0.66331018518518503</v>
      </c>
    </row>
    <row r="246" spans="1:4" x14ac:dyDescent="0.2">
      <c r="A246" t="s">
        <v>30</v>
      </c>
      <c r="B246" t="s">
        <v>135</v>
      </c>
      <c r="C246" t="s">
        <v>167</v>
      </c>
      <c r="D246" s="1">
        <v>0.66319444444444398</v>
      </c>
    </row>
    <row r="247" spans="1:4" x14ac:dyDescent="0.2">
      <c r="A247" t="s">
        <v>30</v>
      </c>
      <c r="B247" t="s">
        <v>135</v>
      </c>
      <c r="C247" t="s">
        <v>167</v>
      </c>
      <c r="D247" s="1">
        <v>0.66331018518518503</v>
      </c>
    </row>
    <row r="248" spans="1:4" x14ac:dyDescent="0.2">
      <c r="A248" t="s">
        <v>30</v>
      </c>
      <c r="B248" t="s">
        <v>135</v>
      </c>
      <c r="C248" t="s">
        <v>31</v>
      </c>
      <c r="D248" t="s">
        <v>169</v>
      </c>
    </row>
    <row r="249" spans="1:4" x14ac:dyDescent="0.2">
      <c r="A249" t="s">
        <v>30</v>
      </c>
      <c r="B249" t="s">
        <v>135</v>
      </c>
      <c r="C249" t="s">
        <v>31</v>
      </c>
      <c r="D249" t="s">
        <v>174</v>
      </c>
    </row>
    <row r="250" spans="1:4" x14ac:dyDescent="0.2">
      <c r="A250" t="s">
        <v>30</v>
      </c>
      <c r="B250" t="s">
        <v>135</v>
      </c>
      <c r="C250" t="s">
        <v>31</v>
      </c>
      <c r="D250" t="s">
        <v>170</v>
      </c>
    </row>
    <row r="251" spans="1:4" x14ac:dyDescent="0.2">
      <c r="A251" t="s">
        <v>30</v>
      </c>
      <c r="B251" t="s">
        <v>135</v>
      </c>
      <c r="C251" t="s">
        <v>31</v>
      </c>
      <c r="D251" t="s">
        <v>175</v>
      </c>
    </row>
    <row r="252" spans="1:4" x14ac:dyDescent="0.2">
      <c r="A252" t="s">
        <v>176</v>
      </c>
      <c r="B252" t="s">
        <v>177</v>
      </c>
      <c r="C252" t="s">
        <v>178</v>
      </c>
      <c r="D252" t="s">
        <v>179</v>
      </c>
    </row>
    <row r="253" spans="1:4" x14ac:dyDescent="0.2">
      <c r="A253" t="s">
        <v>176</v>
      </c>
      <c r="B253" t="s">
        <v>177</v>
      </c>
      <c r="C253" t="s">
        <v>178</v>
      </c>
      <c r="D253" t="s">
        <v>180</v>
      </c>
    </row>
    <row r="254" spans="1:4" x14ac:dyDescent="0.2">
      <c r="A254" t="s">
        <v>176</v>
      </c>
      <c r="B254" t="s">
        <v>177</v>
      </c>
      <c r="C254" t="s">
        <v>178</v>
      </c>
      <c r="D254" t="s">
        <v>181</v>
      </c>
    </row>
    <row r="255" spans="1:4" x14ac:dyDescent="0.2">
      <c r="A255" t="s">
        <v>176</v>
      </c>
      <c r="B255" t="s">
        <v>177</v>
      </c>
      <c r="C255" t="s">
        <v>178</v>
      </c>
      <c r="D255" t="s">
        <v>182</v>
      </c>
    </row>
    <row r="256" spans="1:4" x14ac:dyDescent="0.2">
      <c r="A256" t="s">
        <v>176</v>
      </c>
      <c r="B256" t="s">
        <v>177</v>
      </c>
      <c r="C256" t="s">
        <v>178</v>
      </c>
      <c r="D256" t="s">
        <v>183</v>
      </c>
    </row>
    <row r="257" spans="1:4" x14ac:dyDescent="0.2">
      <c r="A257" t="s">
        <v>176</v>
      </c>
      <c r="B257" t="s">
        <v>177</v>
      </c>
      <c r="C257" t="s">
        <v>178</v>
      </c>
      <c r="D257" t="s">
        <v>184</v>
      </c>
    </row>
    <row r="258" spans="1:4" x14ac:dyDescent="0.2">
      <c r="A258" t="s">
        <v>176</v>
      </c>
      <c r="B258" t="s">
        <v>177</v>
      </c>
      <c r="C258" t="s">
        <v>178</v>
      </c>
      <c r="D258" t="s">
        <v>185</v>
      </c>
    </row>
    <row r="259" spans="1:4" x14ac:dyDescent="0.2">
      <c r="A259" t="s">
        <v>176</v>
      </c>
      <c r="B259" t="s">
        <v>177</v>
      </c>
      <c r="C259" t="s">
        <v>178</v>
      </c>
      <c r="D259" t="s">
        <v>186</v>
      </c>
    </row>
    <row r="260" spans="1:4" x14ac:dyDescent="0.2">
      <c r="A260" t="s">
        <v>176</v>
      </c>
      <c r="B260" t="s">
        <v>177</v>
      </c>
      <c r="C260" t="s">
        <v>178</v>
      </c>
      <c r="D260" t="s">
        <v>187</v>
      </c>
    </row>
    <row r="261" spans="1:4" x14ac:dyDescent="0.2">
      <c r="A261" t="s">
        <v>176</v>
      </c>
      <c r="B261" t="s">
        <v>177</v>
      </c>
      <c r="C261" t="s">
        <v>178</v>
      </c>
      <c r="D261" t="s">
        <v>188</v>
      </c>
    </row>
    <row r="262" spans="1:4" x14ac:dyDescent="0.2">
      <c r="A262" t="s">
        <v>176</v>
      </c>
      <c r="B262" t="s">
        <v>177</v>
      </c>
      <c r="C262" t="s">
        <v>178</v>
      </c>
      <c r="D262" t="s">
        <v>189</v>
      </c>
    </row>
    <row r="263" spans="1:4" x14ac:dyDescent="0.2">
      <c r="A263" t="s">
        <v>176</v>
      </c>
      <c r="B263" t="s">
        <v>177</v>
      </c>
      <c r="C263" t="s">
        <v>190</v>
      </c>
      <c r="D263" t="s">
        <v>191</v>
      </c>
    </row>
    <row r="264" spans="1:4" x14ac:dyDescent="0.2">
      <c r="A264" t="s">
        <v>176</v>
      </c>
      <c r="B264" t="s">
        <v>177</v>
      </c>
      <c r="C264" t="s">
        <v>190</v>
      </c>
      <c r="D264" t="s">
        <v>180</v>
      </c>
    </row>
    <row r="265" spans="1:4" x14ac:dyDescent="0.2">
      <c r="A265" t="s">
        <v>176</v>
      </c>
      <c r="B265" t="s">
        <v>177</v>
      </c>
      <c r="C265" t="s">
        <v>190</v>
      </c>
      <c r="D265" t="s">
        <v>192</v>
      </c>
    </row>
    <row r="266" spans="1:4" x14ac:dyDescent="0.2">
      <c r="A266" t="s">
        <v>176</v>
      </c>
      <c r="B266" t="s">
        <v>177</v>
      </c>
      <c r="C266" t="s">
        <v>190</v>
      </c>
      <c r="D266" t="s">
        <v>193</v>
      </c>
    </row>
    <row r="267" spans="1:4" x14ac:dyDescent="0.2">
      <c r="A267" t="s">
        <v>176</v>
      </c>
      <c r="B267" t="s">
        <v>177</v>
      </c>
      <c r="C267" t="s">
        <v>190</v>
      </c>
      <c r="D267" t="s">
        <v>194</v>
      </c>
    </row>
    <row r="268" spans="1:4" x14ac:dyDescent="0.2">
      <c r="A268" t="s">
        <v>176</v>
      </c>
      <c r="B268" t="s">
        <v>177</v>
      </c>
      <c r="C268" t="s">
        <v>190</v>
      </c>
      <c r="D268" t="s">
        <v>195</v>
      </c>
    </row>
    <row r="269" spans="1:4" x14ac:dyDescent="0.2">
      <c r="A269" t="s">
        <v>176</v>
      </c>
      <c r="B269" t="s">
        <v>177</v>
      </c>
      <c r="C269" t="s">
        <v>190</v>
      </c>
      <c r="D269" t="s">
        <v>196</v>
      </c>
    </row>
    <row r="270" spans="1:4" x14ac:dyDescent="0.2">
      <c r="A270" t="s">
        <v>176</v>
      </c>
      <c r="B270" t="s">
        <v>197</v>
      </c>
      <c r="C270" t="s">
        <v>198</v>
      </c>
      <c r="D270" t="s">
        <v>199</v>
      </c>
    </row>
    <row r="271" spans="1:4" x14ac:dyDescent="0.2">
      <c r="A271" t="s">
        <v>176</v>
      </c>
      <c r="B271" t="s">
        <v>197</v>
      </c>
      <c r="C271" t="s">
        <v>198</v>
      </c>
      <c r="D271" t="s">
        <v>200</v>
      </c>
    </row>
    <row r="272" spans="1:4" x14ac:dyDescent="0.2">
      <c r="A272" t="s">
        <v>176</v>
      </c>
      <c r="B272" t="s">
        <v>197</v>
      </c>
      <c r="C272" t="s">
        <v>198</v>
      </c>
      <c r="D272" t="s">
        <v>201</v>
      </c>
    </row>
    <row r="273" spans="1:4" x14ac:dyDescent="0.2">
      <c r="A273" t="s">
        <v>176</v>
      </c>
      <c r="B273" t="s">
        <v>197</v>
      </c>
      <c r="C273" t="s">
        <v>198</v>
      </c>
      <c r="D273" t="s">
        <v>202</v>
      </c>
    </row>
    <row r="274" spans="1:4" x14ac:dyDescent="0.2">
      <c r="A274" t="s">
        <v>176</v>
      </c>
      <c r="B274" t="s">
        <v>197</v>
      </c>
      <c r="C274" t="s">
        <v>198</v>
      </c>
      <c r="D274" t="s">
        <v>203</v>
      </c>
    </row>
    <row r="275" spans="1:4" x14ac:dyDescent="0.2">
      <c r="A275" t="s">
        <v>176</v>
      </c>
      <c r="B275" t="s">
        <v>197</v>
      </c>
      <c r="C275" t="s">
        <v>198</v>
      </c>
      <c r="D275" t="s">
        <v>204</v>
      </c>
    </row>
    <row r="276" spans="1:4" x14ac:dyDescent="0.2">
      <c r="A276" t="s">
        <v>176</v>
      </c>
      <c r="B276" t="s">
        <v>197</v>
      </c>
      <c r="C276" t="s">
        <v>198</v>
      </c>
      <c r="D276" t="s">
        <v>205</v>
      </c>
    </row>
    <row r="277" spans="1:4" x14ac:dyDescent="0.2">
      <c r="A277" t="s">
        <v>176</v>
      </c>
      <c r="B277" t="s">
        <v>197</v>
      </c>
      <c r="C277" t="s">
        <v>198</v>
      </c>
      <c r="D277" t="s">
        <v>206</v>
      </c>
    </row>
    <row r="278" spans="1:4" x14ac:dyDescent="0.2">
      <c r="A278" t="s">
        <v>176</v>
      </c>
      <c r="B278" t="s">
        <v>197</v>
      </c>
      <c r="C278" t="s">
        <v>207</v>
      </c>
      <c r="D278" t="s">
        <v>54</v>
      </c>
    </row>
    <row r="279" spans="1:4" x14ac:dyDescent="0.2">
      <c r="A279" t="s">
        <v>176</v>
      </c>
      <c r="B279" t="s">
        <v>197</v>
      </c>
      <c r="C279" t="s">
        <v>207</v>
      </c>
      <c r="D279" t="s">
        <v>55</v>
      </c>
    </row>
    <row r="280" spans="1:4" x14ac:dyDescent="0.2">
      <c r="A280" t="s">
        <v>176</v>
      </c>
      <c r="B280" t="s">
        <v>197</v>
      </c>
      <c r="C280" t="s">
        <v>207</v>
      </c>
      <c r="D280" t="s">
        <v>56</v>
      </c>
    </row>
    <row r="281" spans="1:4" x14ac:dyDescent="0.2">
      <c r="A281" t="s">
        <v>176</v>
      </c>
      <c r="B281" t="s">
        <v>197</v>
      </c>
      <c r="C281" t="s">
        <v>207</v>
      </c>
      <c r="D281" t="s">
        <v>57</v>
      </c>
    </row>
    <row r="282" spans="1:4" x14ac:dyDescent="0.2">
      <c r="A282" t="s">
        <v>176</v>
      </c>
      <c r="B282" t="s">
        <v>197</v>
      </c>
      <c r="C282" t="s">
        <v>207</v>
      </c>
      <c r="D282" t="s">
        <v>58</v>
      </c>
    </row>
    <row r="283" spans="1:4" x14ac:dyDescent="0.2">
      <c r="A283" t="s">
        <v>176</v>
      </c>
      <c r="B283" t="s">
        <v>197</v>
      </c>
      <c r="C283" t="s">
        <v>207</v>
      </c>
      <c r="D283" t="s">
        <v>59</v>
      </c>
    </row>
    <row r="284" spans="1:4" x14ac:dyDescent="0.2">
      <c r="A284" t="s">
        <v>176</v>
      </c>
      <c r="B284" t="s">
        <v>197</v>
      </c>
      <c r="C284" t="s">
        <v>207</v>
      </c>
      <c r="D284" t="s">
        <v>60</v>
      </c>
    </row>
    <row r="285" spans="1:4" x14ac:dyDescent="0.2">
      <c r="A285" t="s">
        <v>176</v>
      </c>
      <c r="B285" t="s">
        <v>197</v>
      </c>
      <c r="C285" t="s">
        <v>207</v>
      </c>
      <c r="D285" t="s">
        <v>61</v>
      </c>
    </row>
    <row r="286" spans="1:4" x14ac:dyDescent="0.2">
      <c r="A286" t="s">
        <v>176</v>
      </c>
      <c r="B286" t="s">
        <v>197</v>
      </c>
      <c r="C286" t="s">
        <v>207</v>
      </c>
      <c r="D286" t="s">
        <v>62</v>
      </c>
    </row>
    <row r="287" spans="1:4" x14ac:dyDescent="0.2">
      <c r="A287" t="s">
        <v>176</v>
      </c>
      <c r="B287" t="s">
        <v>197</v>
      </c>
      <c r="C287" t="s">
        <v>207</v>
      </c>
      <c r="D287" t="s">
        <v>63</v>
      </c>
    </row>
    <row r="288" spans="1:4" x14ac:dyDescent="0.2">
      <c r="A288" t="s">
        <v>176</v>
      </c>
      <c r="B288" t="s">
        <v>197</v>
      </c>
      <c r="C288" t="s">
        <v>207</v>
      </c>
      <c r="D288" t="s">
        <v>64</v>
      </c>
    </row>
    <row r="289" spans="1:6" x14ac:dyDescent="0.2">
      <c r="A289" t="s">
        <v>176</v>
      </c>
      <c r="B289" t="s">
        <v>197</v>
      </c>
      <c r="C289" t="s">
        <v>207</v>
      </c>
      <c r="D289" t="s">
        <v>65</v>
      </c>
    </row>
    <row r="290" spans="1:6" x14ac:dyDescent="0.2">
      <c r="A290" t="s">
        <v>176</v>
      </c>
      <c r="B290" t="s">
        <v>197</v>
      </c>
      <c r="C290" t="s">
        <v>208</v>
      </c>
      <c r="D290" t="s">
        <v>209</v>
      </c>
    </row>
    <row r="291" spans="1:6" x14ac:dyDescent="0.2">
      <c r="A291" t="s">
        <v>176</v>
      </c>
      <c r="B291" t="s">
        <v>197</v>
      </c>
      <c r="C291" t="s">
        <v>208</v>
      </c>
      <c r="D291" t="s">
        <v>210</v>
      </c>
    </row>
    <row r="292" spans="1:6" x14ac:dyDescent="0.2">
      <c r="A292" t="s">
        <v>176</v>
      </c>
      <c r="B292" t="s">
        <v>197</v>
      </c>
      <c r="C292" t="s">
        <v>208</v>
      </c>
      <c r="D292" t="s">
        <v>211</v>
      </c>
    </row>
    <row r="293" spans="1:6" ht="38.25" x14ac:dyDescent="0.2">
      <c r="A293" t="s">
        <v>176</v>
      </c>
      <c r="B293" t="s">
        <v>212</v>
      </c>
      <c r="C293" t="s">
        <v>213</v>
      </c>
      <c r="D293" s="4" t="s">
        <v>214</v>
      </c>
      <c r="E293" s="7" t="s">
        <v>215</v>
      </c>
      <c r="F293" s="7"/>
    </row>
    <row r="294" spans="1:6" x14ac:dyDescent="0.2">
      <c r="A294" t="s">
        <v>176</v>
      </c>
      <c r="B294" t="s">
        <v>212</v>
      </c>
      <c r="C294" t="s">
        <v>216</v>
      </c>
      <c r="D294" t="s">
        <v>217</v>
      </c>
    </row>
    <row r="295" spans="1:6" x14ac:dyDescent="0.2">
      <c r="A295" t="s">
        <v>176</v>
      </c>
      <c r="B295" t="s">
        <v>212</v>
      </c>
      <c r="C295" t="s">
        <v>216</v>
      </c>
      <c r="D295" t="s">
        <v>218</v>
      </c>
    </row>
    <row r="296" spans="1:6" x14ac:dyDescent="0.2">
      <c r="A296" t="s">
        <v>176</v>
      </c>
      <c r="B296" t="s">
        <v>212</v>
      </c>
      <c r="C296" t="s">
        <v>216</v>
      </c>
      <c r="D296" t="s">
        <v>219</v>
      </c>
    </row>
    <row r="297" spans="1:6" x14ac:dyDescent="0.2">
      <c r="A297" t="s">
        <v>176</v>
      </c>
      <c r="B297" t="s">
        <v>212</v>
      </c>
      <c r="C297" t="s">
        <v>216</v>
      </c>
      <c r="D297" t="s">
        <v>220</v>
      </c>
    </row>
    <row r="298" spans="1:6" x14ac:dyDescent="0.2">
      <c r="A298" t="s">
        <v>176</v>
      </c>
      <c r="B298" t="s">
        <v>212</v>
      </c>
      <c r="C298" t="s">
        <v>216</v>
      </c>
      <c r="D298" t="s">
        <v>221</v>
      </c>
    </row>
    <row r="299" spans="1:6" x14ac:dyDescent="0.2">
      <c r="A299" t="s">
        <v>176</v>
      </c>
      <c r="B299" t="s">
        <v>212</v>
      </c>
      <c r="C299" t="s">
        <v>222</v>
      </c>
      <c r="D299" t="s">
        <v>223</v>
      </c>
    </row>
    <row r="300" spans="1:6" x14ac:dyDescent="0.2">
      <c r="A300" t="s">
        <v>176</v>
      </c>
      <c r="B300" t="s">
        <v>212</v>
      </c>
      <c r="C300" t="s">
        <v>222</v>
      </c>
      <c r="D300" t="s">
        <v>224</v>
      </c>
    </row>
    <row r="301" spans="1:6" x14ac:dyDescent="0.2">
      <c r="A301" t="s">
        <v>176</v>
      </c>
      <c r="B301" t="s">
        <v>212</v>
      </c>
      <c r="C301" t="s">
        <v>222</v>
      </c>
      <c r="D301" t="s">
        <v>225</v>
      </c>
    </row>
    <row r="302" spans="1:6" x14ac:dyDescent="0.2">
      <c r="A302" t="s">
        <v>176</v>
      </c>
      <c r="B302" t="s">
        <v>212</v>
      </c>
      <c r="C302" t="s">
        <v>226</v>
      </c>
      <c r="D302" t="s">
        <v>227</v>
      </c>
    </row>
    <row r="303" spans="1:6" x14ac:dyDescent="0.2">
      <c r="A303" t="s">
        <v>176</v>
      </c>
      <c r="B303" t="s">
        <v>212</v>
      </c>
      <c r="C303" t="s">
        <v>226</v>
      </c>
      <c r="D303" t="s">
        <v>228</v>
      </c>
    </row>
    <row r="304" spans="1:6" x14ac:dyDescent="0.2">
      <c r="A304" t="s">
        <v>176</v>
      </c>
      <c r="B304" t="s">
        <v>212</v>
      </c>
      <c r="C304" t="s">
        <v>226</v>
      </c>
      <c r="D304" t="s">
        <v>229</v>
      </c>
    </row>
    <row r="305" spans="1:4" x14ac:dyDescent="0.2">
      <c r="A305" t="s">
        <v>176</v>
      </c>
      <c r="B305" t="s">
        <v>212</v>
      </c>
      <c r="C305" t="s">
        <v>226</v>
      </c>
      <c r="D305" t="s">
        <v>230</v>
      </c>
    </row>
    <row r="306" spans="1:4" x14ac:dyDescent="0.2">
      <c r="A306" t="s">
        <v>176</v>
      </c>
      <c r="B306" t="s">
        <v>212</v>
      </c>
      <c r="C306" t="s">
        <v>226</v>
      </c>
      <c r="D306" t="s">
        <v>231</v>
      </c>
    </row>
    <row r="307" spans="1:4" x14ac:dyDescent="0.2">
      <c r="A307" t="s">
        <v>176</v>
      </c>
      <c r="B307" t="s">
        <v>212</v>
      </c>
      <c r="C307" t="s">
        <v>226</v>
      </c>
      <c r="D307" t="s">
        <v>232</v>
      </c>
    </row>
    <row r="308" spans="1:4" x14ac:dyDescent="0.2">
      <c r="A308" t="s">
        <v>176</v>
      </c>
      <c r="B308" t="s">
        <v>212</v>
      </c>
      <c r="C308" t="s">
        <v>226</v>
      </c>
      <c r="D308" t="s">
        <v>233</v>
      </c>
    </row>
    <row r="309" spans="1:4" x14ac:dyDescent="0.2">
      <c r="A309" t="s">
        <v>176</v>
      </c>
      <c r="B309" t="s">
        <v>212</v>
      </c>
      <c r="C309" t="s">
        <v>234</v>
      </c>
      <c r="D309" t="s">
        <v>86</v>
      </c>
    </row>
    <row r="310" spans="1:4" x14ac:dyDescent="0.2">
      <c r="A310" t="s">
        <v>176</v>
      </c>
      <c r="B310" t="s">
        <v>212</v>
      </c>
      <c r="C310" t="s">
        <v>234</v>
      </c>
      <c r="D310" t="s">
        <v>235</v>
      </c>
    </row>
    <row r="311" spans="1:4" x14ac:dyDescent="0.2">
      <c r="A311" t="s">
        <v>176</v>
      </c>
      <c r="B311" t="s">
        <v>212</v>
      </c>
      <c r="C311" t="s">
        <v>234</v>
      </c>
      <c r="D311" t="s">
        <v>236</v>
      </c>
    </row>
    <row r="312" spans="1:4" x14ac:dyDescent="0.2">
      <c r="A312" t="s">
        <v>176</v>
      </c>
      <c r="B312" t="s">
        <v>212</v>
      </c>
      <c r="C312" t="s">
        <v>234</v>
      </c>
      <c r="D312" t="s">
        <v>237</v>
      </c>
    </row>
    <row r="313" spans="1:4" x14ac:dyDescent="0.2">
      <c r="A313" t="s">
        <v>176</v>
      </c>
      <c r="B313" t="s">
        <v>212</v>
      </c>
      <c r="C313" t="s">
        <v>234</v>
      </c>
      <c r="D313" t="s">
        <v>238</v>
      </c>
    </row>
    <row r="314" spans="1:4" x14ac:dyDescent="0.2">
      <c r="A314" t="s">
        <v>176</v>
      </c>
      <c r="B314" t="s">
        <v>239</v>
      </c>
      <c r="C314" t="s">
        <v>240</v>
      </c>
      <c r="D314" t="s">
        <v>241</v>
      </c>
    </row>
    <row r="315" spans="1:4" x14ac:dyDescent="0.2">
      <c r="A315" t="s">
        <v>176</v>
      </c>
      <c r="B315" t="s">
        <v>239</v>
      </c>
      <c r="C315" t="s">
        <v>240</v>
      </c>
      <c r="D315" t="s">
        <v>242</v>
      </c>
    </row>
    <row r="316" spans="1:4" x14ac:dyDescent="0.2">
      <c r="A316" t="s">
        <v>176</v>
      </c>
      <c r="B316" t="s">
        <v>239</v>
      </c>
      <c r="C316" t="s">
        <v>240</v>
      </c>
      <c r="D316" t="s">
        <v>243</v>
      </c>
    </row>
    <row r="317" spans="1:4" x14ac:dyDescent="0.2">
      <c r="A317" t="s">
        <v>176</v>
      </c>
      <c r="B317" t="s">
        <v>239</v>
      </c>
      <c r="C317" t="s">
        <v>244</v>
      </c>
      <c r="D317" t="s">
        <v>245</v>
      </c>
    </row>
    <row r="318" spans="1:4" x14ac:dyDescent="0.2">
      <c r="A318" t="s">
        <v>176</v>
      </c>
      <c r="B318" t="s">
        <v>239</v>
      </c>
      <c r="C318" t="s">
        <v>244</v>
      </c>
      <c r="D318" t="s">
        <v>246</v>
      </c>
    </row>
    <row r="319" spans="1:4" x14ac:dyDescent="0.2">
      <c r="A319" t="s">
        <v>176</v>
      </c>
      <c r="B319" t="s">
        <v>239</v>
      </c>
      <c r="C319" t="s">
        <v>244</v>
      </c>
      <c r="D319" t="s">
        <v>247</v>
      </c>
    </row>
    <row r="320" spans="1:4" x14ac:dyDescent="0.2">
      <c r="A320" t="s">
        <v>176</v>
      </c>
      <c r="B320" t="s">
        <v>239</v>
      </c>
      <c r="C320" t="s">
        <v>244</v>
      </c>
      <c r="D320" t="s">
        <v>248</v>
      </c>
    </row>
    <row r="321" spans="1:5" x14ac:dyDescent="0.2">
      <c r="A321" t="s">
        <v>176</v>
      </c>
      <c r="B321" t="s">
        <v>239</v>
      </c>
      <c r="C321" t="s">
        <v>244</v>
      </c>
      <c r="D321" t="s">
        <v>249</v>
      </c>
    </row>
    <row r="322" spans="1:5" x14ac:dyDescent="0.2">
      <c r="A322" t="s">
        <v>176</v>
      </c>
      <c r="B322" t="s">
        <v>239</v>
      </c>
      <c r="C322" t="s">
        <v>244</v>
      </c>
      <c r="D322" t="s">
        <v>250</v>
      </c>
    </row>
    <row r="323" spans="1:5" x14ac:dyDescent="0.2">
      <c r="A323" t="s">
        <v>176</v>
      </c>
      <c r="B323" t="s">
        <v>239</v>
      </c>
      <c r="C323" t="s">
        <v>251</v>
      </c>
      <c r="D323" t="s">
        <v>252</v>
      </c>
    </row>
    <row r="324" spans="1:5" x14ac:dyDescent="0.2">
      <c r="A324" t="s">
        <v>176</v>
      </c>
      <c r="B324" t="s">
        <v>239</v>
      </c>
      <c r="C324" t="s">
        <v>251</v>
      </c>
      <c r="D324" t="s">
        <v>253</v>
      </c>
    </row>
    <row r="325" spans="1:5" x14ac:dyDescent="0.2">
      <c r="A325" t="s">
        <v>176</v>
      </c>
      <c r="B325" t="s">
        <v>239</v>
      </c>
      <c r="C325" t="s">
        <v>251</v>
      </c>
      <c r="D325" t="s">
        <v>254</v>
      </c>
    </row>
    <row r="326" spans="1:5" x14ac:dyDescent="0.2">
      <c r="A326" t="s">
        <v>176</v>
      </c>
      <c r="B326" t="s">
        <v>239</v>
      </c>
      <c r="C326" t="s">
        <v>251</v>
      </c>
      <c r="D326" t="s">
        <v>255</v>
      </c>
    </row>
    <row r="327" spans="1:5" x14ac:dyDescent="0.2">
      <c r="A327" t="s">
        <v>176</v>
      </c>
      <c r="B327" t="s">
        <v>239</v>
      </c>
      <c r="C327" t="s">
        <v>251</v>
      </c>
      <c r="D327" t="s">
        <v>256</v>
      </c>
    </row>
    <row r="328" spans="1:5" ht="25.5" x14ac:dyDescent="0.2">
      <c r="A328" t="s">
        <v>176</v>
      </c>
      <c r="B328" t="s">
        <v>239</v>
      </c>
      <c r="C328" t="s">
        <v>257</v>
      </c>
      <c r="D328" t="s">
        <v>258</v>
      </c>
    </row>
    <row r="329" spans="1:5" x14ac:dyDescent="0.2">
      <c r="A329" t="s">
        <v>176</v>
      </c>
      <c r="B329" t="s">
        <v>239</v>
      </c>
      <c r="C329" t="s">
        <v>257</v>
      </c>
      <c r="D329" t="s">
        <v>259</v>
      </c>
    </row>
    <row r="330" spans="1:5" ht="25.5" x14ac:dyDescent="0.2">
      <c r="A330" t="s">
        <v>176</v>
      </c>
      <c r="B330" t="s">
        <v>239</v>
      </c>
      <c r="C330" t="s">
        <v>257</v>
      </c>
      <c r="D330" t="s">
        <v>260</v>
      </c>
    </row>
    <row r="331" spans="1:5" x14ac:dyDescent="0.2">
      <c r="A331" t="s">
        <v>176</v>
      </c>
      <c r="B331" t="s">
        <v>239</v>
      </c>
      <c r="C331" t="s">
        <v>257</v>
      </c>
      <c r="D331" t="s">
        <v>261</v>
      </c>
    </row>
    <row r="332" spans="1:5" x14ac:dyDescent="0.2">
      <c r="A332" t="s">
        <v>176</v>
      </c>
      <c r="B332" t="s">
        <v>239</v>
      </c>
      <c r="C332" t="s">
        <v>257</v>
      </c>
      <c r="D332" t="s">
        <v>262</v>
      </c>
    </row>
    <row r="333" spans="1:5" x14ac:dyDescent="0.2">
      <c r="A333" t="s">
        <v>176</v>
      </c>
      <c r="B333" t="s">
        <v>239</v>
      </c>
      <c r="C333" t="s">
        <v>257</v>
      </c>
      <c r="D333" t="s">
        <v>263</v>
      </c>
    </row>
    <row r="334" spans="1:5" x14ac:dyDescent="0.2">
      <c r="A334" t="s">
        <v>176</v>
      </c>
      <c r="B334" t="s">
        <v>239</v>
      </c>
      <c r="C334" t="s">
        <v>257</v>
      </c>
      <c r="D334" t="s">
        <v>264</v>
      </c>
    </row>
    <row r="335" spans="1:5" ht="31.5" x14ac:dyDescent="0.25">
      <c r="A335" s="6" t="s">
        <v>176</v>
      </c>
      <c r="B335" s="6" t="s">
        <v>239</v>
      </c>
      <c r="C335" s="6" t="s">
        <v>265</v>
      </c>
      <c r="D335" s="6" t="s">
        <v>266</v>
      </c>
      <c r="E335" s="6" t="s">
        <v>267</v>
      </c>
    </row>
    <row r="336" spans="1:5" ht="38.25" x14ac:dyDescent="0.2">
      <c r="A336" t="s">
        <v>176</v>
      </c>
      <c r="B336" t="s">
        <v>239</v>
      </c>
      <c r="C336" t="s">
        <v>265</v>
      </c>
      <c r="D336" t="s">
        <v>268</v>
      </c>
      <c r="E336" t="s">
        <v>269</v>
      </c>
    </row>
    <row r="337" spans="1:5" ht="25.5" x14ac:dyDescent="0.2">
      <c r="A337" t="s">
        <v>176</v>
      </c>
      <c r="B337" t="s">
        <v>239</v>
      </c>
      <c r="C337" t="s">
        <v>265</v>
      </c>
      <c r="D337" t="s">
        <v>270</v>
      </c>
      <c r="E337" t="s">
        <v>271</v>
      </c>
    </row>
    <row r="338" spans="1:5" ht="25.5" x14ac:dyDescent="0.2">
      <c r="A338" t="s">
        <v>176</v>
      </c>
      <c r="B338" t="s">
        <v>239</v>
      </c>
      <c r="C338" t="s">
        <v>265</v>
      </c>
      <c r="D338" t="s">
        <v>272</v>
      </c>
      <c r="E338" t="s">
        <v>273</v>
      </c>
    </row>
    <row r="339" spans="1:5" x14ac:dyDescent="0.2">
      <c r="A339" t="s">
        <v>176</v>
      </c>
      <c r="B339" t="s">
        <v>239</v>
      </c>
      <c r="C339" t="s">
        <v>265</v>
      </c>
      <c r="D339" t="s">
        <v>274</v>
      </c>
    </row>
    <row r="340" spans="1:5" x14ac:dyDescent="0.2">
      <c r="A340" t="s">
        <v>176</v>
      </c>
      <c r="B340" t="s">
        <v>239</v>
      </c>
      <c r="C340" t="s">
        <v>265</v>
      </c>
      <c r="D340" t="s">
        <v>275</v>
      </c>
    </row>
    <row r="341" spans="1:5" x14ac:dyDescent="0.2">
      <c r="A341" t="s">
        <v>176</v>
      </c>
      <c r="B341" t="s">
        <v>239</v>
      </c>
      <c r="C341" t="s">
        <v>265</v>
      </c>
      <c r="D341" t="s">
        <v>276</v>
      </c>
    </row>
    <row r="342" spans="1:5" x14ac:dyDescent="0.2">
      <c r="A342" t="s">
        <v>176</v>
      </c>
      <c r="B342" t="s">
        <v>239</v>
      </c>
      <c r="C342" t="s">
        <v>265</v>
      </c>
      <c r="D342" t="s">
        <v>277</v>
      </c>
    </row>
    <row r="343" spans="1:5" x14ac:dyDescent="0.2">
      <c r="A343" t="s">
        <v>176</v>
      </c>
      <c r="B343" t="s">
        <v>239</v>
      </c>
      <c r="D343" t="s">
        <v>278</v>
      </c>
    </row>
    <row r="344" spans="1:5" x14ac:dyDescent="0.2">
      <c r="A344" t="s">
        <v>176</v>
      </c>
      <c r="B344" t="s">
        <v>239</v>
      </c>
      <c r="C344" t="s">
        <v>265</v>
      </c>
      <c r="D344" t="s">
        <v>279</v>
      </c>
    </row>
    <row r="345" spans="1:5" x14ac:dyDescent="0.2">
      <c r="A345" t="s">
        <v>176</v>
      </c>
      <c r="B345" t="s">
        <v>239</v>
      </c>
      <c r="C345" t="s">
        <v>265</v>
      </c>
      <c r="D345" t="s">
        <v>280</v>
      </c>
    </row>
    <row r="346" spans="1:5" ht="38.25" x14ac:dyDescent="0.2">
      <c r="A346" t="s">
        <v>176</v>
      </c>
      <c r="B346" t="s">
        <v>239</v>
      </c>
      <c r="C346" t="s">
        <v>265</v>
      </c>
      <c r="D346" t="s">
        <v>281</v>
      </c>
    </row>
    <row r="347" spans="1:5" ht="38.25" x14ac:dyDescent="0.2">
      <c r="A347" t="s">
        <v>176</v>
      </c>
      <c r="B347" t="s">
        <v>239</v>
      </c>
      <c r="C347" t="s">
        <v>265</v>
      </c>
      <c r="D347" t="s">
        <v>282</v>
      </c>
      <c r="E347" t="s">
        <v>283</v>
      </c>
    </row>
    <row r="348" spans="1:5" x14ac:dyDescent="0.2">
      <c r="A348" t="s">
        <v>176</v>
      </c>
      <c r="B348" t="s">
        <v>239</v>
      </c>
      <c r="C348" t="s">
        <v>265</v>
      </c>
      <c r="D348" t="s">
        <v>284</v>
      </c>
    </row>
    <row r="349" spans="1:5" ht="25.5" x14ac:dyDescent="0.2">
      <c r="A349" t="s">
        <v>176</v>
      </c>
      <c r="B349" t="s">
        <v>239</v>
      </c>
      <c r="C349" t="s">
        <v>265</v>
      </c>
      <c r="D349" t="s">
        <v>285</v>
      </c>
    </row>
    <row r="350" spans="1:5" x14ac:dyDescent="0.2">
      <c r="A350" t="s">
        <v>176</v>
      </c>
      <c r="B350" t="s">
        <v>239</v>
      </c>
      <c r="C350" t="s">
        <v>265</v>
      </c>
      <c r="D350" t="s">
        <v>286</v>
      </c>
      <c r="E350" s="9" t="s">
        <v>287</v>
      </c>
    </row>
    <row r="351" spans="1:5" x14ac:dyDescent="0.2">
      <c r="A351" t="s">
        <v>176</v>
      </c>
      <c r="B351" t="s">
        <v>239</v>
      </c>
      <c r="C351" t="s">
        <v>265</v>
      </c>
      <c r="D351" t="s">
        <v>288</v>
      </c>
      <c r="E351" s="9"/>
    </row>
    <row r="352" spans="1:5" ht="25.5" x14ac:dyDescent="0.2">
      <c r="A352" t="s">
        <v>176</v>
      </c>
      <c r="B352" t="s">
        <v>239</v>
      </c>
      <c r="C352" t="s">
        <v>265</v>
      </c>
      <c r="D352" t="s">
        <v>289</v>
      </c>
      <c r="E352" t="s">
        <v>290</v>
      </c>
    </row>
    <row r="353" spans="1:5" ht="25.5" x14ac:dyDescent="0.2">
      <c r="A353" t="s">
        <v>176</v>
      </c>
      <c r="B353" t="s">
        <v>239</v>
      </c>
      <c r="C353" t="s">
        <v>265</v>
      </c>
      <c r="D353" t="s">
        <v>291</v>
      </c>
      <c r="E353" t="s">
        <v>292</v>
      </c>
    </row>
    <row r="354" spans="1:5" ht="25.5" x14ac:dyDescent="0.2">
      <c r="A354" t="s">
        <v>176</v>
      </c>
      <c r="B354" t="s">
        <v>239</v>
      </c>
      <c r="C354" t="s">
        <v>265</v>
      </c>
      <c r="D354" t="s">
        <v>293</v>
      </c>
    </row>
    <row r="355" spans="1:5" x14ac:dyDescent="0.2">
      <c r="A355" t="s">
        <v>176</v>
      </c>
      <c r="B355" t="s">
        <v>239</v>
      </c>
      <c r="C355" t="s">
        <v>265</v>
      </c>
    </row>
    <row r="356" spans="1:5" x14ac:dyDescent="0.2">
      <c r="A356" t="s">
        <v>176</v>
      </c>
      <c r="B356" t="s">
        <v>239</v>
      </c>
      <c r="C356" t="s">
        <v>265</v>
      </c>
    </row>
    <row r="357" spans="1:5" x14ac:dyDescent="0.2">
      <c r="A357" t="s">
        <v>176</v>
      </c>
      <c r="B357" t="s">
        <v>239</v>
      </c>
      <c r="C357" t="s">
        <v>265</v>
      </c>
    </row>
    <row r="361" spans="1:5" x14ac:dyDescent="0.2">
      <c r="A361" t="s">
        <v>176</v>
      </c>
      <c r="B361" t="s">
        <v>177</v>
      </c>
      <c r="C361" t="s">
        <v>294</v>
      </c>
      <c r="D361" t="s">
        <v>295</v>
      </c>
    </row>
    <row r="363" spans="1:5" x14ac:dyDescent="0.2">
      <c r="A363" t="s">
        <v>176</v>
      </c>
      <c r="B363" t="s">
        <v>177</v>
      </c>
      <c r="C363" t="s">
        <v>294</v>
      </c>
      <c r="D363" t="s">
        <v>296</v>
      </c>
    </row>
    <row r="364" spans="1:5" x14ac:dyDescent="0.2">
      <c r="A364" t="s">
        <v>176</v>
      </c>
      <c r="B364" t="s">
        <v>177</v>
      </c>
      <c r="C364" t="s">
        <v>294</v>
      </c>
      <c r="D364" t="s">
        <v>297</v>
      </c>
    </row>
    <row r="365" spans="1:5" x14ac:dyDescent="0.2">
      <c r="A365" t="s">
        <v>176</v>
      </c>
      <c r="B365" t="s">
        <v>177</v>
      </c>
      <c r="C365" t="s">
        <v>294</v>
      </c>
      <c r="D365" t="s">
        <v>298</v>
      </c>
    </row>
    <row r="366" spans="1:5" x14ac:dyDescent="0.2">
      <c r="A366" t="s">
        <v>176</v>
      </c>
      <c r="B366" t="s">
        <v>177</v>
      </c>
      <c r="C366" t="s">
        <v>294</v>
      </c>
      <c r="D366" t="s">
        <v>299</v>
      </c>
    </row>
    <row r="367" spans="1:5" x14ac:dyDescent="0.2">
      <c r="A367" t="s">
        <v>176</v>
      </c>
      <c r="B367" t="s">
        <v>177</v>
      </c>
      <c r="C367" t="s">
        <v>294</v>
      </c>
      <c r="D367" t="s">
        <v>300</v>
      </c>
    </row>
    <row r="368" spans="1:5" x14ac:dyDescent="0.2">
      <c r="A368" t="s">
        <v>176</v>
      </c>
      <c r="B368" t="s">
        <v>177</v>
      </c>
      <c r="C368" t="s">
        <v>294</v>
      </c>
      <c r="D368" t="s">
        <v>301</v>
      </c>
    </row>
    <row r="369" spans="1:5" ht="25.5" x14ac:dyDescent="0.2">
      <c r="A369" t="s">
        <v>176</v>
      </c>
      <c r="B369" t="s">
        <v>177</v>
      </c>
      <c r="C369" t="s">
        <v>294</v>
      </c>
      <c r="D369" t="s">
        <v>302</v>
      </c>
    </row>
    <row r="370" spans="1:5" x14ac:dyDescent="0.2">
      <c r="A370" t="s">
        <v>176</v>
      </c>
      <c r="B370" t="s">
        <v>177</v>
      </c>
      <c r="C370" t="s">
        <v>303</v>
      </c>
      <c r="D370" t="s">
        <v>304</v>
      </c>
    </row>
    <row r="371" spans="1:5" ht="25.5" x14ac:dyDescent="0.2">
      <c r="A371" t="s">
        <v>176</v>
      </c>
      <c r="B371" t="s">
        <v>177</v>
      </c>
      <c r="C371" t="s">
        <v>303</v>
      </c>
      <c r="D371" t="s">
        <v>305</v>
      </c>
    </row>
    <row r="372" spans="1:5" x14ac:dyDescent="0.2">
      <c r="A372" t="s">
        <v>176</v>
      </c>
      <c r="B372" t="s">
        <v>177</v>
      </c>
      <c r="C372" t="s">
        <v>303</v>
      </c>
      <c r="D372" t="s">
        <v>306</v>
      </c>
    </row>
    <row r="373" spans="1:5" x14ac:dyDescent="0.2">
      <c r="A373" t="s">
        <v>176</v>
      </c>
      <c r="B373" t="s">
        <v>177</v>
      </c>
      <c r="C373" t="s">
        <v>303</v>
      </c>
      <c r="D373" t="s">
        <v>307</v>
      </c>
    </row>
    <row r="374" spans="1:5" x14ac:dyDescent="0.2">
      <c r="A374" t="s">
        <v>176</v>
      </c>
      <c r="B374" t="s">
        <v>177</v>
      </c>
      <c r="C374" t="s">
        <v>303</v>
      </c>
      <c r="D374" t="s">
        <v>308</v>
      </c>
    </row>
    <row r="375" spans="1:5" x14ac:dyDescent="0.2">
      <c r="A375" t="s">
        <v>176</v>
      </c>
      <c r="B375" t="s">
        <v>177</v>
      </c>
      <c r="C375" t="s">
        <v>303</v>
      </c>
      <c r="D375" t="s">
        <v>309</v>
      </c>
    </row>
    <row r="376" spans="1:5" x14ac:dyDescent="0.2">
      <c r="A376" t="s">
        <v>176</v>
      </c>
      <c r="B376" t="s">
        <v>177</v>
      </c>
      <c r="C376" t="s">
        <v>303</v>
      </c>
      <c r="D376" t="s">
        <v>253</v>
      </c>
    </row>
    <row r="377" spans="1:5" x14ac:dyDescent="0.2">
      <c r="A377" t="s">
        <v>176</v>
      </c>
      <c r="B377" t="s">
        <v>177</v>
      </c>
      <c r="C377" t="s">
        <v>303</v>
      </c>
      <c r="D377" t="s">
        <v>254</v>
      </c>
    </row>
    <row r="378" spans="1:5" x14ac:dyDescent="0.2">
      <c r="A378" t="s">
        <v>176</v>
      </c>
      <c r="B378" t="s">
        <v>177</v>
      </c>
      <c r="C378" t="s">
        <v>303</v>
      </c>
      <c r="D378" t="s">
        <v>255</v>
      </c>
    </row>
    <row r="379" spans="1:5" x14ac:dyDescent="0.2">
      <c r="A379" t="s">
        <v>176</v>
      </c>
      <c r="B379" t="s">
        <v>177</v>
      </c>
      <c r="C379" t="s">
        <v>303</v>
      </c>
      <c r="D379" t="s">
        <v>310</v>
      </c>
    </row>
    <row r="380" spans="1:5" ht="31.5" x14ac:dyDescent="0.25">
      <c r="A380" s="6" t="s">
        <v>176</v>
      </c>
      <c r="B380" s="6" t="s">
        <v>177</v>
      </c>
      <c r="C380" s="6" t="s">
        <v>311</v>
      </c>
      <c r="D380" s="6" t="s">
        <v>312</v>
      </c>
      <c r="E380" s="6" t="s">
        <v>313</v>
      </c>
    </row>
    <row r="381" spans="1:5" x14ac:dyDescent="0.2">
      <c r="A381" t="s">
        <v>176</v>
      </c>
      <c r="B381" t="s">
        <v>314</v>
      </c>
      <c r="C381" t="s">
        <v>315</v>
      </c>
      <c r="D381" t="s">
        <v>316</v>
      </c>
    </row>
    <row r="382" spans="1:5" x14ac:dyDescent="0.2">
      <c r="A382" t="s">
        <v>176</v>
      </c>
      <c r="B382" t="s">
        <v>314</v>
      </c>
      <c r="C382" t="s">
        <v>315</v>
      </c>
      <c r="D382" t="s">
        <v>317</v>
      </c>
    </row>
    <row r="383" spans="1:5" x14ac:dyDescent="0.2">
      <c r="A383" t="s">
        <v>176</v>
      </c>
      <c r="B383" t="s">
        <v>314</v>
      </c>
      <c r="C383" t="s">
        <v>315</v>
      </c>
      <c r="D383" t="s">
        <v>253</v>
      </c>
    </row>
    <row r="384" spans="1:5" x14ac:dyDescent="0.2">
      <c r="A384" t="s">
        <v>176</v>
      </c>
      <c r="B384" t="s">
        <v>314</v>
      </c>
      <c r="C384" t="s">
        <v>315</v>
      </c>
      <c r="D384" t="s">
        <v>254</v>
      </c>
    </row>
    <row r="385" spans="1:4" x14ac:dyDescent="0.2">
      <c r="A385" t="s">
        <v>176</v>
      </c>
      <c r="B385" t="s">
        <v>314</v>
      </c>
      <c r="C385" t="s">
        <v>315</v>
      </c>
      <c r="D385" t="s">
        <v>255</v>
      </c>
    </row>
    <row r="386" spans="1:4" x14ac:dyDescent="0.2">
      <c r="A386" t="s">
        <v>176</v>
      </c>
      <c r="B386" t="s">
        <v>314</v>
      </c>
      <c r="C386" t="s">
        <v>315</v>
      </c>
      <c r="D386" t="s">
        <v>256</v>
      </c>
    </row>
    <row r="387" spans="1:4" ht="25.5" x14ac:dyDescent="0.2">
      <c r="A387" t="s">
        <v>176</v>
      </c>
      <c r="B387" t="s">
        <v>318</v>
      </c>
      <c r="C387" t="s">
        <v>319</v>
      </c>
      <c r="D387" t="s">
        <v>320</v>
      </c>
    </row>
    <row r="388" spans="1:4" ht="25.5" x14ac:dyDescent="0.2">
      <c r="A388" t="s">
        <v>176</v>
      </c>
      <c r="B388" t="s">
        <v>318</v>
      </c>
      <c r="C388" t="s">
        <v>319</v>
      </c>
      <c r="D388" t="s">
        <v>321</v>
      </c>
    </row>
    <row r="389" spans="1:4" ht="25.5" x14ac:dyDescent="0.2">
      <c r="A389" t="s">
        <v>176</v>
      </c>
      <c r="B389" t="s">
        <v>318</v>
      </c>
      <c r="C389" t="s">
        <v>319</v>
      </c>
      <c r="D389" t="s">
        <v>322</v>
      </c>
    </row>
    <row r="390" spans="1:4" ht="25.5" x14ac:dyDescent="0.2">
      <c r="A390" t="s">
        <v>176</v>
      </c>
      <c r="B390" t="s">
        <v>318</v>
      </c>
      <c r="C390" t="s">
        <v>319</v>
      </c>
      <c r="D390" t="s">
        <v>323</v>
      </c>
    </row>
    <row r="391" spans="1:4" ht="25.5" x14ac:dyDescent="0.2">
      <c r="A391" t="s">
        <v>176</v>
      </c>
      <c r="B391" t="s">
        <v>318</v>
      </c>
      <c r="C391" t="s">
        <v>319</v>
      </c>
      <c r="D391" t="s">
        <v>324</v>
      </c>
    </row>
    <row r="392" spans="1:4" ht="25.5" x14ac:dyDescent="0.2">
      <c r="A392" t="s">
        <v>176</v>
      </c>
      <c r="B392" t="s">
        <v>318</v>
      </c>
      <c r="C392" t="s">
        <v>319</v>
      </c>
      <c r="D392" t="s">
        <v>325</v>
      </c>
    </row>
    <row r="393" spans="1:4" x14ac:dyDescent="0.2">
      <c r="A393" t="s">
        <v>176</v>
      </c>
      <c r="B393" t="s">
        <v>318</v>
      </c>
      <c r="C393" t="s">
        <v>326</v>
      </c>
      <c r="D393" t="s">
        <v>327</v>
      </c>
    </row>
    <row r="394" spans="1:4" x14ac:dyDescent="0.2">
      <c r="A394" t="s">
        <v>176</v>
      </c>
      <c r="B394" t="s">
        <v>318</v>
      </c>
      <c r="C394" t="s">
        <v>326</v>
      </c>
      <c r="D394" t="s">
        <v>328</v>
      </c>
    </row>
    <row r="395" spans="1:4" x14ac:dyDescent="0.2">
      <c r="A395" t="s">
        <v>176</v>
      </c>
      <c r="B395" t="s">
        <v>318</v>
      </c>
      <c r="C395" t="s">
        <v>326</v>
      </c>
      <c r="D395" t="s">
        <v>329</v>
      </c>
    </row>
    <row r="396" spans="1:4" x14ac:dyDescent="0.2">
      <c r="A396" t="s">
        <v>176</v>
      </c>
      <c r="B396" t="s">
        <v>318</v>
      </c>
      <c r="C396" t="s">
        <v>326</v>
      </c>
      <c r="D396" t="s">
        <v>330</v>
      </c>
    </row>
    <row r="397" spans="1:4" x14ac:dyDescent="0.2">
      <c r="A397" t="s">
        <v>176</v>
      </c>
      <c r="B397" t="s">
        <v>318</v>
      </c>
      <c r="C397" t="s">
        <v>326</v>
      </c>
      <c r="D397" t="s">
        <v>331</v>
      </c>
    </row>
    <row r="398" spans="1:4" x14ac:dyDescent="0.2">
      <c r="A398" t="s">
        <v>176</v>
      </c>
      <c r="B398" t="s">
        <v>318</v>
      </c>
      <c r="C398" t="s">
        <v>326</v>
      </c>
      <c r="D398" t="s">
        <v>332</v>
      </c>
    </row>
    <row r="399" spans="1:4" x14ac:dyDescent="0.2">
      <c r="A399" t="s">
        <v>176</v>
      </c>
      <c r="B399" t="s">
        <v>318</v>
      </c>
      <c r="C399" t="s">
        <v>326</v>
      </c>
      <c r="D399" t="s">
        <v>333</v>
      </c>
    </row>
    <row r="400" spans="1:4" x14ac:dyDescent="0.2">
      <c r="A400" t="s">
        <v>176</v>
      </c>
      <c r="B400" t="s">
        <v>334</v>
      </c>
      <c r="C400" t="s">
        <v>334</v>
      </c>
      <c r="D400" t="s">
        <v>335</v>
      </c>
    </row>
    <row r="401" spans="1:4" x14ac:dyDescent="0.2">
      <c r="A401" t="s">
        <v>176</v>
      </c>
      <c r="B401" t="s">
        <v>334</v>
      </c>
      <c r="C401" t="s">
        <v>334</v>
      </c>
      <c r="D401" t="s">
        <v>336</v>
      </c>
    </row>
    <row r="402" spans="1:4" x14ac:dyDescent="0.2">
      <c r="A402" t="s">
        <v>176</v>
      </c>
      <c r="B402" t="s">
        <v>334</v>
      </c>
      <c r="C402" t="s">
        <v>334</v>
      </c>
      <c r="D402" t="s">
        <v>86</v>
      </c>
    </row>
    <row r="403" spans="1:4" x14ac:dyDescent="0.2">
      <c r="A403" t="s">
        <v>176</v>
      </c>
      <c r="B403" t="s">
        <v>334</v>
      </c>
      <c r="C403" t="s">
        <v>334</v>
      </c>
      <c r="D403" t="s">
        <v>337</v>
      </c>
    </row>
    <row r="404" spans="1:4" x14ac:dyDescent="0.2">
      <c r="A404" t="s">
        <v>176</v>
      </c>
      <c r="B404" t="s">
        <v>334</v>
      </c>
      <c r="C404" t="s">
        <v>334</v>
      </c>
      <c r="D404" t="s">
        <v>338</v>
      </c>
    </row>
    <row r="405" spans="1:4" x14ac:dyDescent="0.2">
      <c r="A405" t="s">
        <v>176</v>
      </c>
      <c r="B405" t="s">
        <v>334</v>
      </c>
      <c r="C405" t="s">
        <v>334</v>
      </c>
      <c r="D405" t="s">
        <v>339</v>
      </c>
    </row>
    <row r="406" spans="1:4" x14ac:dyDescent="0.2">
      <c r="A406" t="s">
        <v>176</v>
      </c>
      <c r="B406" t="s">
        <v>334</v>
      </c>
      <c r="C406" t="s">
        <v>334</v>
      </c>
      <c r="D406" t="s">
        <v>340</v>
      </c>
    </row>
    <row r="407" spans="1:4" x14ac:dyDescent="0.2">
      <c r="A407" t="s">
        <v>176</v>
      </c>
      <c r="B407" t="s">
        <v>334</v>
      </c>
      <c r="C407" t="s">
        <v>334</v>
      </c>
      <c r="D407" t="s">
        <v>341</v>
      </c>
    </row>
    <row r="408" spans="1:4" x14ac:dyDescent="0.2">
      <c r="A408" t="s">
        <v>176</v>
      </c>
      <c r="B408" t="s">
        <v>334</v>
      </c>
      <c r="C408" t="s">
        <v>334</v>
      </c>
      <c r="D408" t="s">
        <v>342</v>
      </c>
    </row>
    <row r="409" spans="1:4" x14ac:dyDescent="0.2">
      <c r="A409" t="s">
        <v>176</v>
      </c>
      <c r="B409" t="s">
        <v>334</v>
      </c>
      <c r="C409" t="s">
        <v>240</v>
      </c>
      <c r="D409" t="s">
        <v>86</v>
      </c>
    </row>
    <row r="410" spans="1:4" x14ac:dyDescent="0.2">
      <c r="A410" t="s">
        <v>176</v>
      </c>
      <c r="B410" t="s">
        <v>334</v>
      </c>
      <c r="C410" t="s">
        <v>240</v>
      </c>
      <c r="D410" t="s">
        <v>343</v>
      </c>
    </row>
    <row r="411" spans="1:4" x14ac:dyDescent="0.2">
      <c r="A411" t="s">
        <v>176</v>
      </c>
      <c r="B411" t="s">
        <v>334</v>
      </c>
      <c r="C411" t="s">
        <v>240</v>
      </c>
      <c r="D411" t="s">
        <v>344</v>
      </c>
    </row>
    <row r="412" spans="1:4" x14ac:dyDescent="0.2">
      <c r="A412" t="s">
        <v>176</v>
      </c>
      <c r="B412" t="s">
        <v>334</v>
      </c>
      <c r="C412" t="s">
        <v>240</v>
      </c>
      <c r="D412" t="s">
        <v>345</v>
      </c>
    </row>
    <row r="413" spans="1:4" x14ac:dyDescent="0.2">
      <c r="A413" t="s">
        <v>176</v>
      </c>
      <c r="B413" t="s">
        <v>334</v>
      </c>
      <c r="C413" t="s">
        <v>240</v>
      </c>
      <c r="D413" t="s">
        <v>346</v>
      </c>
    </row>
    <row r="414" spans="1:4" x14ac:dyDescent="0.2">
      <c r="A414" t="s">
        <v>176</v>
      </c>
      <c r="B414" t="s">
        <v>334</v>
      </c>
      <c r="C414" t="s">
        <v>347</v>
      </c>
      <c r="D414" t="s">
        <v>348</v>
      </c>
    </row>
    <row r="415" spans="1:4" x14ac:dyDescent="0.2">
      <c r="A415" t="s">
        <v>176</v>
      </c>
      <c r="B415" t="s">
        <v>334</v>
      </c>
      <c r="C415" t="s">
        <v>347</v>
      </c>
      <c r="D415" t="s">
        <v>349</v>
      </c>
    </row>
    <row r="416" spans="1:4" x14ac:dyDescent="0.2">
      <c r="A416" t="s">
        <v>176</v>
      </c>
      <c r="B416" t="s">
        <v>334</v>
      </c>
      <c r="C416" t="s">
        <v>347</v>
      </c>
      <c r="D416" t="s">
        <v>350</v>
      </c>
    </row>
    <row r="417" spans="1:5" x14ac:dyDescent="0.2">
      <c r="A417" t="s">
        <v>176</v>
      </c>
      <c r="B417" t="s">
        <v>334</v>
      </c>
      <c r="C417" t="s">
        <v>347</v>
      </c>
      <c r="D417" t="s">
        <v>351</v>
      </c>
    </row>
    <row r="418" spans="1:5" x14ac:dyDescent="0.2">
      <c r="A418" t="s">
        <v>176</v>
      </c>
      <c r="B418" t="s">
        <v>334</v>
      </c>
      <c r="C418" t="s">
        <v>352</v>
      </c>
      <c r="D418" t="s">
        <v>353</v>
      </c>
    </row>
    <row r="419" spans="1:5" x14ac:dyDescent="0.2">
      <c r="A419" t="s">
        <v>176</v>
      </c>
      <c r="B419" t="s">
        <v>334</v>
      </c>
      <c r="C419" t="s">
        <v>352</v>
      </c>
      <c r="D419" t="s">
        <v>354</v>
      </c>
    </row>
    <row r="420" spans="1:5" x14ac:dyDescent="0.2">
      <c r="A420" t="s">
        <v>176</v>
      </c>
      <c r="B420" t="s">
        <v>334</v>
      </c>
      <c r="C420" t="s">
        <v>352</v>
      </c>
      <c r="D420" t="s">
        <v>355</v>
      </c>
    </row>
    <row r="421" spans="1:5" x14ac:dyDescent="0.2">
      <c r="A421" t="s">
        <v>176</v>
      </c>
      <c r="B421" t="s">
        <v>334</v>
      </c>
      <c r="C421" t="s">
        <v>356</v>
      </c>
      <c r="D421" t="s">
        <v>357</v>
      </c>
      <c r="E421" t="s">
        <v>358</v>
      </c>
    </row>
    <row r="423" spans="1:5" x14ac:dyDescent="0.2">
      <c r="C423" s="7"/>
    </row>
    <row r="424" spans="1:5" ht="25.5" x14ac:dyDescent="0.2">
      <c r="A424" t="s">
        <v>359</v>
      </c>
      <c r="B424" t="s">
        <v>360</v>
      </c>
      <c r="C424" t="s">
        <v>31</v>
      </c>
      <c r="D424" t="s">
        <v>361</v>
      </c>
    </row>
    <row r="425" spans="1:5" ht="25.5" x14ac:dyDescent="0.2">
      <c r="A425" t="s">
        <v>359</v>
      </c>
      <c r="B425" t="s">
        <v>360</v>
      </c>
      <c r="C425" t="s">
        <v>31</v>
      </c>
      <c r="D425" t="s">
        <v>362</v>
      </c>
    </row>
    <row r="426" spans="1:5" ht="25.5" x14ac:dyDescent="0.2">
      <c r="A426" t="s">
        <v>359</v>
      </c>
      <c r="B426" t="s">
        <v>360</v>
      </c>
      <c r="C426" t="s">
        <v>363</v>
      </c>
      <c r="D426" t="s">
        <v>364</v>
      </c>
    </row>
    <row r="427" spans="1:5" ht="25.5" x14ac:dyDescent="0.2">
      <c r="A427" t="s">
        <v>359</v>
      </c>
      <c r="B427" t="s">
        <v>360</v>
      </c>
      <c r="C427" t="s">
        <v>363</v>
      </c>
      <c r="D427" t="s">
        <v>365</v>
      </c>
    </row>
    <row r="428" spans="1:5" ht="25.5" x14ac:dyDescent="0.2">
      <c r="A428" t="s">
        <v>359</v>
      </c>
      <c r="B428" t="s">
        <v>360</v>
      </c>
      <c r="C428" t="s">
        <v>363</v>
      </c>
      <c r="D428" t="s">
        <v>366</v>
      </c>
    </row>
    <row r="429" spans="1:5" ht="25.5" x14ac:dyDescent="0.2">
      <c r="A429" t="s">
        <v>359</v>
      </c>
      <c r="B429" t="s">
        <v>360</v>
      </c>
      <c r="C429" t="s">
        <v>363</v>
      </c>
      <c r="D429" t="s">
        <v>367</v>
      </c>
    </row>
    <row r="430" spans="1:5" x14ac:dyDescent="0.2">
      <c r="A430" t="s">
        <v>359</v>
      </c>
      <c r="B430" t="s">
        <v>360</v>
      </c>
      <c r="C430" t="s">
        <v>368</v>
      </c>
      <c r="D430" t="s">
        <v>369</v>
      </c>
    </row>
    <row r="431" spans="1:5" x14ac:dyDescent="0.2">
      <c r="A431" t="s">
        <v>359</v>
      </c>
      <c r="B431" t="s">
        <v>360</v>
      </c>
      <c r="C431" t="s">
        <v>370</v>
      </c>
      <c r="D431" t="s">
        <v>369</v>
      </c>
    </row>
    <row r="432" spans="1:5" x14ac:dyDescent="0.2">
      <c r="A432" t="s">
        <v>359</v>
      </c>
      <c r="B432" t="s">
        <v>360</v>
      </c>
      <c r="C432" t="s">
        <v>371</v>
      </c>
      <c r="D432" t="s">
        <v>372</v>
      </c>
    </row>
    <row r="433" spans="1:4" x14ac:dyDescent="0.2">
      <c r="A433" t="s">
        <v>359</v>
      </c>
      <c r="B433" t="s">
        <v>360</v>
      </c>
      <c r="C433" t="s">
        <v>371</v>
      </c>
      <c r="D433" t="s">
        <v>373</v>
      </c>
    </row>
    <row r="434" spans="1:4" x14ac:dyDescent="0.2">
      <c r="A434" t="s">
        <v>359</v>
      </c>
      <c r="B434" t="s">
        <v>360</v>
      </c>
      <c r="C434" t="s">
        <v>374</v>
      </c>
      <c r="D434" t="s">
        <v>375</v>
      </c>
    </row>
    <row r="435" spans="1:4" x14ac:dyDescent="0.2">
      <c r="A435" t="s">
        <v>359</v>
      </c>
      <c r="B435" t="s">
        <v>360</v>
      </c>
      <c r="C435" t="s">
        <v>374</v>
      </c>
      <c r="D435" t="s">
        <v>376</v>
      </c>
    </row>
    <row r="436" spans="1:4" x14ac:dyDescent="0.2">
      <c r="A436" t="s">
        <v>359</v>
      </c>
      <c r="B436" t="s">
        <v>360</v>
      </c>
      <c r="C436" t="s">
        <v>374</v>
      </c>
      <c r="D436" t="s">
        <v>377</v>
      </c>
    </row>
    <row r="437" spans="1:4" x14ac:dyDescent="0.2">
      <c r="A437" t="s">
        <v>359</v>
      </c>
      <c r="B437" t="s">
        <v>360</v>
      </c>
      <c r="C437" t="s">
        <v>374</v>
      </c>
      <c r="D437" t="s">
        <v>378</v>
      </c>
    </row>
    <row r="438" spans="1:4" x14ac:dyDescent="0.2">
      <c r="A438" t="s">
        <v>359</v>
      </c>
      <c r="B438" t="s">
        <v>360</v>
      </c>
      <c r="C438" t="s">
        <v>374</v>
      </c>
      <c r="D438" t="s">
        <v>379</v>
      </c>
    </row>
    <row r="439" spans="1:4" x14ac:dyDescent="0.2">
      <c r="A439" t="s">
        <v>359</v>
      </c>
      <c r="B439" t="s">
        <v>360</v>
      </c>
      <c r="C439" t="s">
        <v>374</v>
      </c>
      <c r="D439" t="s">
        <v>380</v>
      </c>
    </row>
    <row r="440" spans="1:4" x14ac:dyDescent="0.2">
      <c r="A440" t="s">
        <v>359</v>
      </c>
      <c r="B440" t="s">
        <v>360</v>
      </c>
      <c r="C440" t="s">
        <v>381</v>
      </c>
      <c r="D440" t="s">
        <v>382</v>
      </c>
    </row>
    <row r="441" spans="1:4" x14ac:dyDescent="0.2">
      <c r="A441" t="s">
        <v>359</v>
      </c>
      <c r="B441" t="s">
        <v>360</v>
      </c>
      <c r="C441" t="s">
        <v>381</v>
      </c>
      <c r="D441" t="s">
        <v>383</v>
      </c>
    </row>
    <row r="442" spans="1:4" x14ac:dyDescent="0.2">
      <c r="A442" t="s">
        <v>359</v>
      </c>
      <c r="B442" t="s">
        <v>360</v>
      </c>
      <c r="C442" t="s">
        <v>381</v>
      </c>
      <c r="D442" t="s">
        <v>384</v>
      </c>
    </row>
    <row r="443" spans="1:4" x14ac:dyDescent="0.2">
      <c r="A443" t="s">
        <v>359</v>
      </c>
      <c r="B443" t="s">
        <v>360</v>
      </c>
      <c r="C443" t="s">
        <v>385</v>
      </c>
      <c r="D443" t="s">
        <v>386</v>
      </c>
    </row>
    <row r="444" spans="1:4" x14ac:dyDescent="0.2">
      <c r="A444" t="s">
        <v>359</v>
      </c>
      <c r="B444" t="s">
        <v>360</v>
      </c>
      <c r="C444" t="s">
        <v>385</v>
      </c>
      <c r="D444" t="s">
        <v>387</v>
      </c>
    </row>
    <row r="445" spans="1:4" x14ac:dyDescent="0.2">
      <c r="A445" t="s">
        <v>359</v>
      </c>
      <c r="B445" t="s">
        <v>360</v>
      </c>
      <c r="C445" t="s">
        <v>385</v>
      </c>
      <c r="D445" t="s">
        <v>388</v>
      </c>
    </row>
    <row r="446" spans="1:4" x14ac:dyDescent="0.2">
      <c r="A446" t="s">
        <v>359</v>
      </c>
      <c r="B446" t="s">
        <v>360</v>
      </c>
      <c r="C446" t="s">
        <v>385</v>
      </c>
      <c r="D446" t="s">
        <v>389</v>
      </c>
    </row>
    <row r="447" spans="1:4" x14ac:dyDescent="0.2">
      <c r="A447" t="s">
        <v>359</v>
      </c>
      <c r="B447" t="s">
        <v>360</v>
      </c>
      <c r="C447" t="s">
        <v>390</v>
      </c>
      <c r="D447" t="s">
        <v>391</v>
      </c>
    </row>
    <row r="448" spans="1:4" x14ac:dyDescent="0.2">
      <c r="A448" t="s">
        <v>359</v>
      </c>
      <c r="B448" t="s">
        <v>360</v>
      </c>
      <c r="C448" t="s">
        <v>390</v>
      </c>
      <c r="D448" t="s">
        <v>392</v>
      </c>
    </row>
    <row r="449" spans="1:5" x14ac:dyDescent="0.2">
      <c r="A449" t="s">
        <v>359</v>
      </c>
      <c r="B449" t="s">
        <v>360</v>
      </c>
      <c r="C449" t="s">
        <v>390</v>
      </c>
      <c r="D449" t="s">
        <v>393</v>
      </c>
    </row>
    <row r="450" spans="1:5" x14ac:dyDescent="0.2">
      <c r="A450" t="s">
        <v>359</v>
      </c>
      <c r="B450" t="s">
        <v>360</v>
      </c>
      <c r="C450" t="s">
        <v>394</v>
      </c>
      <c r="D450" t="s">
        <v>391</v>
      </c>
    </row>
    <row r="451" spans="1:5" x14ac:dyDescent="0.2">
      <c r="A451" t="s">
        <v>359</v>
      </c>
      <c r="B451" t="s">
        <v>360</v>
      </c>
      <c r="C451" t="s">
        <v>394</v>
      </c>
      <c r="D451" t="s">
        <v>392</v>
      </c>
    </row>
    <row r="452" spans="1:5" x14ac:dyDescent="0.2">
      <c r="A452" t="s">
        <v>359</v>
      </c>
      <c r="B452" t="s">
        <v>360</v>
      </c>
      <c r="C452" t="s">
        <v>394</v>
      </c>
      <c r="D452" t="s">
        <v>393</v>
      </c>
    </row>
    <row r="453" spans="1:5" ht="38.25" x14ac:dyDescent="0.2">
      <c r="A453" s="7" t="s">
        <v>359</v>
      </c>
      <c r="B453" s="7" t="s">
        <v>395</v>
      </c>
      <c r="C453" s="7" t="s">
        <v>213</v>
      </c>
      <c r="D453" s="7" t="s">
        <v>396</v>
      </c>
      <c r="E453" s="7" t="s">
        <v>397</v>
      </c>
    </row>
    <row r="454" spans="1:5" ht="25.5" x14ac:dyDescent="0.2">
      <c r="A454" t="s">
        <v>359</v>
      </c>
      <c r="B454" t="s">
        <v>395</v>
      </c>
      <c r="C454" t="s">
        <v>213</v>
      </c>
      <c r="D454" s="7" t="s">
        <v>398</v>
      </c>
    </row>
    <row r="455" spans="1:5" ht="25.5" x14ac:dyDescent="0.2">
      <c r="A455" t="s">
        <v>359</v>
      </c>
      <c r="B455" t="s">
        <v>395</v>
      </c>
      <c r="C455" t="s">
        <v>213</v>
      </c>
      <c r="D455" s="7" t="s">
        <v>399</v>
      </c>
    </row>
    <row r="456" spans="1:5" ht="25.5" x14ac:dyDescent="0.2">
      <c r="A456" t="s">
        <v>359</v>
      </c>
      <c r="B456" t="s">
        <v>395</v>
      </c>
      <c r="C456" t="s">
        <v>213</v>
      </c>
      <c r="D456" s="7" t="s">
        <v>400</v>
      </c>
    </row>
    <row r="457" spans="1:5" ht="25.5" x14ac:dyDescent="0.2">
      <c r="A457" t="s">
        <v>359</v>
      </c>
      <c r="B457" t="s">
        <v>395</v>
      </c>
      <c r="C457" t="s">
        <v>213</v>
      </c>
      <c r="D457" s="7" t="s">
        <v>233</v>
      </c>
    </row>
    <row r="458" spans="1:5" ht="25.5" x14ac:dyDescent="0.2">
      <c r="A458" t="s">
        <v>359</v>
      </c>
      <c r="B458" t="s">
        <v>395</v>
      </c>
      <c r="C458" t="s">
        <v>213</v>
      </c>
      <c r="D458" s="7" t="s">
        <v>401</v>
      </c>
    </row>
    <row r="459" spans="1:5" ht="25.5" x14ac:dyDescent="0.2">
      <c r="A459" t="s">
        <v>359</v>
      </c>
      <c r="B459" t="s">
        <v>395</v>
      </c>
      <c r="C459" t="s">
        <v>213</v>
      </c>
      <c r="D459" s="7" t="s">
        <v>402</v>
      </c>
    </row>
    <row r="460" spans="1:5" ht="25.5" x14ac:dyDescent="0.2">
      <c r="A460" t="s">
        <v>359</v>
      </c>
      <c r="B460" t="s">
        <v>395</v>
      </c>
      <c r="C460" t="s">
        <v>213</v>
      </c>
      <c r="D460" s="7" t="s">
        <v>403</v>
      </c>
    </row>
    <row r="461" spans="1:5" ht="25.5" x14ac:dyDescent="0.2">
      <c r="A461" t="s">
        <v>359</v>
      </c>
      <c r="B461" t="s">
        <v>395</v>
      </c>
      <c r="C461" t="s">
        <v>213</v>
      </c>
      <c r="D461" s="7" t="s">
        <v>404</v>
      </c>
    </row>
    <row r="462" spans="1:5" ht="25.5" x14ac:dyDescent="0.2">
      <c r="A462" t="s">
        <v>359</v>
      </c>
      <c r="B462" t="s">
        <v>395</v>
      </c>
      <c r="C462" t="s">
        <v>213</v>
      </c>
      <c r="D462" s="7" t="s">
        <v>405</v>
      </c>
    </row>
    <row r="463" spans="1:5" ht="25.5" x14ac:dyDescent="0.2">
      <c r="A463" t="s">
        <v>359</v>
      </c>
      <c r="B463" t="s">
        <v>395</v>
      </c>
      <c r="C463" t="s">
        <v>213</v>
      </c>
      <c r="D463" s="7" t="s">
        <v>406</v>
      </c>
    </row>
    <row r="464" spans="1:5" ht="25.5" x14ac:dyDescent="0.2">
      <c r="A464" t="s">
        <v>359</v>
      </c>
      <c r="B464" t="s">
        <v>395</v>
      </c>
      <c r="C464" t="s">
        <v>213</v>
      </c>
      <c r="D464" s="7" t="s">
        <v>407</v>
      </c>
    </row>
    <row r="465" spans="1:4" ht="25.5" x14ac:dyDescent="0.2">
      <c r="A465" t="s">
        <v>359</v>
      </c>
      <c r="B465" t="s">
        <v>395</v>
      </c>
      <c r="C465" t="s">
        <v>213</v>
      </c>
      <c r="D465" s="7" t="s">
        <v>408</v>
      </c>
    </row>
    <row r="466" spans="1:4" ht="25.5" x14ac:dyDescent="0.2">
      <c r="A466" t="s">
        <v>359</v>
      </c>
      <c r="B466" t="s">
        <v>395</v>
      </c>
      <c r="C466" t="s">
        <v>213</v>
      </c>
      <c r="D466" s="7" t="s">
        <v>409</v>
      </c>
    </row>
    <row r="467" spans="1:4" ht="25.5" x14ac:dyDescent="0.2">
      <c r="A467" t="s">
        <v>359</v>
      </c>
      <c r="B467" t="s">
        <v>395</v>
      </c>
      <c r="C467" t="s">
        <v>213</v>
      </c>
      <c r="D467" s="7" t="s">
        <v>299</v>
      </c>
    </row>
    <row r="468" spans="1:4" ht="25.5" x14ac:dyDescent="0.2">
      <c r="A468" t="s">
        <v>359</v>
      </c>
      <c r="B468" t="s">
        <v>395</v>
      </c>
      <c r="C468" t="s">
        <v>213</v>
      </c>
      <c r="D468" s="7" t="s">
        <v>410</v>
      </c>
    </row>
    <row r="469" spans="1:4" ht="25.5" x14ac:dyDescent="0.2">
      <c r="A469" t="s">
        <v>359</v>
      </c>
      <c r="B469" t="s">
        <v>395</v>
      </c>
      <c r="C469" t="s">
        <v>213</v>
      </c>
      <c r="D469" s="7" t="s">
        <v>411</v>
      </c>
    </row>
    <row r="470" spans="1:4" ht="25.5" x14ac:dyDescent="0.2">
      <c r="A470" t="s">
        <v>359</v>
      </c>
      <c r="B470" t="s">
        <v>395</v>
      </c>
      <c r="C470" t="s">
        <v>213</v>
      </c>
      <c r="D470" s="7" t="s">
        <v>412</v>
      </c>
    </row>
    <row r="740" spans="2:2" x14ac:dyDescent="0.2">
      <c r="B740" t="s">
        <v>359</v>
      </c>
    </row>
    <row r="741" spans="2:2" x14ac:dyDescent="0.2">
      <c r="B741" t="s">
        <v>359</v>
      </c>
    </row>
    <row r="742" spans="2:2" x14ac:dyDescent="0.2">
      <c r="B742" t="s">
        <v>359</v>
      </c>
    </row>
    <row r="743" spans="2:2" x14ac:dyDescent="0.2">
      <c r="B743" t="s">
        <v>359</v>
      </c>
    </row>
    <row r="744" spans="2:2" x14ac:dyDescent="0.2">
      <c r="B744" t="s">
        <v>359</v>
      </c>
    </row>
    <row r="745" spans="2:2" x14ac:dyDescent="0.2">
      <c r="B745" t="s">
        <v>359</v>
      </c>
    </row>
    <row r="746" spans="2:2" x14ac:dyDescent="0.2">
      <c r="B746" t="s">
        <v>359</v>
      </c>
    </row>
    <row r="747" spans="2:2" x14ac:dyDescent="0.2">
      <c r="B747" t="s">
        <v>359</v>
      </c>
    </row>
    <row r="748" spans="2:2" x14ac:dyDescent="0.2">
      <c r="B748" t="s">
        <v>359</v>
      </c>
    </row>
    <row r="749" spans="2:2" x14ac:dyDescent="0.2">
      <c r="B749" t="s">
        <v>359</v>
      </c>
    </row>
    <row r="750" spans="2:2" x14ac:dyDescent="0.2">
      <c r="B750" t="s">
        <v>359</v>
      </c>
    </row>
    <row r="751" spans="2:2" x14ac:dyDescent="0.2">
      <c r="B751" t="s">
        <v>359</v>
      </c>
    </row>
    <row r="752" spans="2:2" x14ac:dyDescent="0.2">
      <c r="B752" t="s">
        <v>359</v>
      </c>
    </row>
    <row r="753" spans="2:2" x14ac:dyDescent="0.2">
      <c r="B753" t="s">
        <v>359</v>
      </c>
    </row>
    <row r="754" spans="2:2" x14ac:dyDescent="0.2">
      <c r="B754" t="s">
        <v>359</v>
      </c>
    </row>
    <row r="755" spans="2:2" x14ac:dyDescent="0.2">
      <c r="B755" t="s">
        <v>359</v>
      </c>
    </row>
    <row r="756" spans="2:2" x14ac:dyDescent="0.2">
      <c r="B756" t="s">
        <v>359</v>
      </c>
    </row>
    <row r="757" spans="2:2" x14ac:dyDescent="0.2">
      <c r="B757" t="s">
        <v>359</v>
      </c>
    </row>
    <row r="758" spans="2:2" x14ac:dyDescent="0.2">
      <c r="B758" t="s">
        <v>359</v>
      </c>
    </row>
    <row r="759" spans="2:2" x14ac:dyDescent="0.2">
      <c r="B759" t="s">
        <v>359</v>
      </c>
    </row>
    <row r="760" spans="2:2" x14ac:dyDescent="0.2">
      <c r="B760" t="s">
        <v>359</v>
      </c>
    </row>
    <row r="761" spans="2:2" x14ac:dyDescent="0.2">
      <c r="B761" t="s">
        <v>359</v>
      </c>
    </row>
    <row r="762" spans="2:2" x14ac:dyDescent="0.2">
      <c r="B762" t="s">
        <v>359</v>
      </c>
    </row>
    <row r="763" spans="2:2" x14ac:dyDescent="0.2">
      <c r="B763" t="s">
        <v>359</v>
      </c>
    </row>
    <row r="764" spans="2:2" x14ac:dyDescent="0.2">
      <c r="B764" t="s">
        <v>359</v>
      </c>
    </row>
    <row r="765" spans="2:2" x14ac:dyDescent="0.2">
      <c r="B765" t="s">
        <v>359</v>
      </c>
    </row>
    <row r="766" spans="2:2" x14ac:dyDescent="0.2">
      <c r="B766" t="s">
        <v>359</v>
      </c>
    </row>
    <row r="767" spans="2:2" x14ac:dyDescent="0.2">
      <c r="B767" t="s">
        <v>359</v>
      </c>
    </row>
    <row r="768" spans="2:2" x14ac:dyDescent="0.2">
      <c r="B768" t="s">
        <v>359</v>
      </c>
    </row>
    <row r="779" spans="2:2" x14ac:dyDescent="0.2">
      <c r="B779" s="7"/>
    </row>
    <row r="787" spans="2:2" x14ac:dyDescent="0.2">
      <c r="B787" t="s">
        <v>413</v>
      </c>
    </row>
  </sheetData>
  <mergeCells count="1">
    <mergeCell ref="E350:E351"/>
  </mergeCells>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801"/>
  <sheetViews>
    <sheetView tabSelected="1" workbookViewId="0">
      <selection activeCell="C2" sqref="C2"/>
    </sheetView>
  </sheetViews>
  <sheetFormatPr defaultColWidth="17.140625" defaultRowHeight="12.75" customHeight="1" x14ac:dyDescent="0.2"/>
  <cols>
    <col min="2" max="2" width="19" customWidth="1"/>
    <col min="3" max="3" width="53.42578125" customWidth="1"/>
    <col min="4" max="4" width="75.42578125" customWidth="1"/>
  </cols>
  <sheetData>
    <row r="2" spans="1:6" ht="12.75" customHeight="1" x14ac:dyDescent="0.2">
      <c r="A2" s="7" t="s">
        <v>1</v>
      </c>
      <c r="B2" s="7" t="s">
        <v>2</v>
      </c>
      <c r="C2" s="7" t="s">
        <v>3</v>
      </c>
      <c r="D2" s="7" t="s">
        <v>4</v>
      </c>
      <c r="E2" s="7" t="s">
        <v>5</v>
      </c>
      <c r="F2" s="7" t="s">
        <v>6</v>
      </c>
    </row>
    <row r="4" spans="1:6" ht="12.75" customHeight="1" x14ac:dyDescent="0.2">
      <c r="A4" t="s">
        <v>414</v>
      </c>
      <c r="B4" t="s">
        <v>415</v>
      </c>
      <c r="C4" t="s">
        <v>178</v>
      </c>
      <c r="D4" t="s">
        <v>179</v>
      </c>
    </row>
    <row r="5" spans="1:6" ht="12.75" customHeight="1" x14ac:dyDescent="0.2">
      <c r="A5" t="s">
        <v>414</v>
      </c>
      <c r="B5" t="s">
        <v>415</v>
      </c>
      <c r="D5" t="s">
        <v>180</v>
      </c>
    </row>
    <row r="6" spans="1:6" ht="12.75" customHeight="1" x14ac:dyDescent="0.2">
      <c r="A6" t="s">
        <v>414</v>
      </c>
      <c r="B6" t="s">
        <v>415</v>
      </c>
      <c r="D6" t="s">
        <v>181</v>
      </c>
    </row>
    <row r="7" spans="1:6" ht="12.75" customHeight="1" x14ac:dyDescent="0.2">
      <c r="A7" t="s">
        <v>414</v>
      </c>
      <c r="B7" t="s">
        <v>415</v>
      </c>
      <c r="D7" t="s">
        <v>182</v>
      </c>
    </row>
    <row r="8" spans="1:6" ht="12.75" customHeight="1" x14ac:dyDescent="0.2">
      <c r="A8" t="s">
        <v>414</v>
      </c>
      <c r="B8" t="s">
        <v>415</v>
      </c>
      <c r="D8" t="s">
        <v>183</v>
      </c>
    </row>
    <row r="9" spans="1:6" ht="12.75" customHeight="1" x14ac:dyDescent="0.2">
      <c r="A9" t="s">
        <v>414</v>
      </c>
      <c r="B9" t="s">
        <v>415</v>
      </c>
      <c r="D9" t="s">
        <v>184</v>
      </c>
    </row>
    <row r="10" spans="1:6" ht="12.75" customHeight="1" x14ac:dyDescent="0.2">
      <c r="A10" t="s">
        <v>414</v>
      </c>
      <c r="B10" t="s">
        <v>415</v>
      </c>
      <c r="D10" t="s">
        <v>185</v>
      </c>
    </row>
    <row r="11" spans="1:6" ht="12.75" customHeight="1" x14ac:dyDescent="0.2">
      <c r="A11" t="s">
        <v>414</v>
      </c>
      <c r="B11" t="s">
        <v>415</v>
      </c>
      <c r="D11" t="s">
        <v>186</v>
      </c>
    </row>
    <row r="12" spans="1:6" ht="12.75" customHeight="1" x14ac:dyDescent="0.2">
      <c r="A12" t="s">
        <v>414</v>
      </c>
      <c r="B12" t="s">
        <v>415</v>
      </c>
      <c r="D12" t="s">
        <v>187</v>
      </c>
    </row>
    <row r="13" spans="1:6" ht="12.75" customHeight="1" x14ac:dyDescent="0.2">
      <c r="A13" t="s">
        <v>414</v>
      </c>
      <c r="B13" t="s">
        <v>415</v>
      </c>
      <c r="D13" t="s">
        <v>188</v>
      </c>
    </row>
    <row r="14" spans="1:6" ht="12.75" customHeight="1" x14ac:dyDescent="0.2">
      <c r="A14" t="s">
        <v>414</v>
      </c>
      <c r="B14" t="s">
        <v>415</v>
      </c>
      <c r="D14" t="s">
        <v>189</v>
      </c>
    </row>
    <row r="15" spans="1:6" ht="12.75" customHeight="1" x14ac:dyDescent="0.2">
      <c r="A15" t="s">
        <v>414</v>
      </c>
      <c r="B15" t="s">
        <v>415</v>
      </c>
      <c r="C15" t="s">
        <v>190</v>
      </c>
      <c r="D15" t="s">
        <v>191</v>
      </c>
    </row>
    <row r="16" spans="1:6" ht="12.75" customHeight="1" x14ac:dyDescent="0.2">
      <c r="A16" t="s">
        <v>414</v>
      </c>
      <c r="B16" t="s">
        <v>415</v>
      </c>
      <c r="D16" t="s">
        <v>180</v>
      </c>
    </row>
    <row r="17" spans="1:4" ht="12.75" customHeight="1" x14ac:dyDescent="0.2">
      <c r="A17" t="s">
        <v>414</v>
      </c>
      <c r="B17" t="s">
        <v>415</v>
      </c>
      <c r="D17" t="s">
        <v>192</v>
      </c>
    </row>
    <row r="18" spans="1:4" ht="12.75" customHeight="1" x14ac:dyDescent="0.2">
      <c r="A18" t="s">
        <v>414</v>
      </c>
      <c r="B18" t="s">
        <v>415</v>
      </c>
      <c r="D18" t="s">
        <v>193</v>
      </c>
    </row>
    <row r="19" spans="1:4" ht="12.75" customHeight="1" x14ac:dyDescent="0.2">
      <c r="A19" t="s">
        <v>414</v>
      </c>
      <c r="B19" t="s">
        <v>415</v>
      </c>
      <c r="D19" t="s">
        <v>194</v>
      </c>
    </row>
    <row r="20" spans="1:4" ht="12.75" customHeight="1" x14ac:dyDescent="0.2">
      <c r="A20" t="s">
        <v>414</v>
      </c>
      <c r="B20" t="s">
        <v>415</v>
      </c>
      <c r="D20" t="s">
        <v>195</v>
      </c>
    </row>
    <row r="21" spans="1:4" ht="12.75" customHeight="1" x14ac:dyDescent="0.2">
      <c r="A21" t="s">
        <v>414</v>
      </c>
      <c r="B21" t="s">
        <v>415</v>
      </c>
      <c r="D21" t="s">
        <v>196</v>
      </c>
    </row>
    <row r="22" spans="1:4" ht="12.75" customHeight="1" x14ac:dyDescent="0.2">
      <c r="A22" t="s">
        <v>414</v>
      </c>
      <c r="B22" t="s">
        <v>415</v>
      </c>
      <c r="C22" t="s">
        <v>416</v>
      </c>
    </row>
    <row r="23" spans="1:4" ht="12.75" customHeight="1" x14ac:dyDescent="0.2">
      <c r="A23" t="s">
        <v>414</v>
      </c>
      <c r="B23" t="s">
        <v>415</v>
      </c>
      <c r="C23" t="s">
        <v>417</v>
      </c>
      <c r="D23" t="s">
        <v>199</v>
      </c>
    </row>
    <row r="24" spans="1:4" ht="12.75" customHeight="1" x14ac:dyDescent="0.2">
      <c r="A24" t="s">
        <v>414</v>
      </c>
      <c r="B24" t="s">
        <v>415</v>
      </c>
      <c r="D24" t="s">
        <v>200</v>
      </c>
    </row>
    <row r="25" spans="1:4" ht="12.75" customHeight="1" x14ac:dyDescent="0.2">
      <c r="A25" t="s">
        <v>414</v>
      </c>
      <c r="B25" t="s">
        <v>415</v>
      </c>
      <c r="D25" t="s">
        <v>201</v>
      </c>
    </row>
    <row r="26" spans="1:4" ht="12.75" customHeight="1" x14ac:dyDescent="0.2">
      <c r="A26" t="s">
        <v>414</v>
      </c>
      <c r="B26" t="s">
        <v>415</v>
      </c>
      <c r="D26" t="s">
        <v>202</v>
      </c>
    </row>
    <row r="27" spans="1:4" ht="12.75" customHeight="1" x14ac:dyDescent="0.2">
      <c r="A27" t="s">
        <v>414</v>
      </c>
      <c r="B27" t="s">
        <v>415</v>
      </c>
      <c r="C27" t="s">
        <v>418</v>
      </c>
    </row>
    <row r="28" spans="1:4" x14ac:dyDescent="0.2">
      <c r="A28" t="s">
        <v>414</v>
      </c>
      <c r="B28" t="s">
        <v>415</v>
      </c>
      <c r="D28" t="s">
        <v>419</v>
      </c>
    </row>
    <row r="29" spans="1:4" x14ac:dyDescent="0.2">
      <c r="A29" t="s">
        <v>414</v>
      </c>
      <c r="B29" t="s">
        <v>415</v>
      </c>
      <c r="D29" t="s">
        <v>420</v>
      </c>
    </row>
    <row r="30" spans="1:4" x14ac:dyDescent="0.2">
      <c r="A30" t="s">
        <v>414</v>
      </c>
      <c r="B30" t="s">
        <v>415</v>
      </c>
      <c r="D30" t="s">
        <v>421</v>
      </c>
    </row>
    <row r="31" spans="1:4" x14ac:dyDescent="0.2">
      <c r="A31" t="s">
        <v>414</v>
      </c>
      <c r="B31" t="s">
        <v>415</v>
      </c>
      <c r="C31" t="s">
        <v>422</v>
      </c>
      <c r="D31" t="s">
        <v>54</v>
      </c>
    </row>
    <row r="32" spans="1:4" x14ac:dyDescent="0.2">
      <c r="A32" t="s">
        <v>414</v>
      </c>
      <c r="B32" t="s">
        <v>415</v>
      </c>
      <c r="D32" t="s">
        <v>55</v>
      </c>
    </row>
    <row r="33" spans="1:4" x14ac:dyDescent="0.2">
      <c r="A33" t="s">
        <v>414</v>
      </c>
      <c r="B33" t="s">
        <v>415</v>
      </c>
      <c r="D33" t="s">
        <v>56</v>
      </c>
    </row>
    <row r="34" spans="1:4" x14ac:dyDescent="0.2">
      <c r="A34" t="s">
        <v>414</v>
      </c>
      <c r="B34" t="s">
        <v>415</v>
      </c>
      <c r="D34" t="s">
        <v>57</v>
      </c>
    </row>
    <row r="35" spans="1:4" x14ac:dyDescent="0.2">
      <c r="A35" t="s">
        <v>414</v>
      </c>
      <c r="B35" t="s">
        <v>415</v>
      </c>
      <c r="D35" t="s">
        <v>58</v>
      </c>
    </row>
    <row r="36" spans="1:4" x14ac:dyDescent="0.2">
      <c r="A36" t="s">
        <v>414</v>
      </c>
      <c r="B36" t="s">
        <v>415</v>
      </c>
      <c r="D36" t="s">
        <v>59</v>
      </c>
    </row>
    <row r="37" spans="1:4" x14ac:dyDescent="0.2">
      <c r="A37" t="s">
        <v>414</v>
      </c>
      <c r="B37" t="s">
        <v>415</v>
      </c>
      <c r="D37" t="s">
        <v>60</v>
      </c>
    </row>
    <row r="38" spans="1:4" x14ac:dyDescent="0.2">
      <c r="A38" t="s">
        <v>414</v>
      </c>
      <c r="B38" t="s">
        <v>415</v>
      </c>
      <c r="D38" t="s">
        <v>61</v>
      </c>
    </row>
    <row r="39" spans="1:4" x14ac:dyDescent="0.2">
      <c r="A39" t="s">
        <v>414</v>
      </c>
      <c r="B39" t="s">
        <v>415</v>
      </c>
      <c r="D39" t="s">
        <v>62</v>
      </c>
    </row>
    <row r="40" spans="1:4" x14ac:dyDescent="0.2">
      <c r="A40" t="s">
        <v>414</v>
      </c>
      <c r="B40" t="s">
        <v>415</v>
      </c>
      <c r="D40" t="s">
        <v>63</v>
      </c>
    </row>
    <row r="41" spans="1:4" x14ac:dyDescent="0.2">
      <c r="A41" t="s">
        <v>414</v>
      </c>
      <c r="B41" t="s">
        <v>415</v>
      </c>
      <c r="D41" t="s">
        <v>64</v>
      </c>
    </row>
    <row r="42" spans="1:4" x14ac:dyDescent="0.2">
      <c r="A42" t="s">
        <v>414</v>
      </c>
      <c r="B42" t="s">
        <v>415</v>
      </c>
      <c r="D42" t="s">
        <v>65</v>
      </c>
    </row>
    <row r="43" spans="1:4" x14ac:dyDescent="0.2">
      <c r="A43" t="s">
        <v>414</v>
      </c>
      <c r="B43" t="s">
        <v>415</v>
      </c>
      <c r="C43" t="s">
        <v>423</v>
      </c>
      <c r="D43" t="s">
        <v>209</v>
      </c>
    </row>
    <row r="44" spans="1:4" x14ac:dyDescent="0.2">
      <c r="A44" t="s">
        <v>414</v>
      </c>
      <c r="B44" t="s">
        <v>415</v>
      </c>
      <c r="D44" t="s">
        <v>210</v>
      </c>
    </row>
    <row r="45" spans="1:4" x14ac:dyDescent="0.2">
      <c r="A45" t="s">
        <v>414</v>
      </c>
      <c r="B45" t="s">
        <v>415</v>
      </c>
      <c r="D45" t="s">
        <v>211</v>
      </c>
    </row>
    <row r="46" spans="1:4" ht="25.5" x14ac:dyDescent="0.2">
      <c r="A46" t="s">
        <v>414</v>
      </c>
      <c r="B46" t="s">
        <v>424</v>
      </c>
      <c r="C46" t="s">
        <v>425</v>
      </c>
      <c r="D46" t="s">
        <v>426</v>
      </c>
    </row>
    <row r="47" spans="1:4" x14ac:dyDescent="0.2">
      <c r="A47" t="s">
        <v>414</v>
      </c>
      <c r="B47" t="s">
        <v>424</v>
      </c>
      <c r="C47" t="s">
        <v>398</v>
      </c>
      <c r="D47" t="s">
        <v>427</v>
      </c>
    </row>
    <row r="48" spans="1:4" x14ac:dyDescent="0.2">
      <c r="A48" t="s">
        <v>414</v>
      </c>
      <c r="B48" t="s">
        <v>424</v>
      </c>
      <c r="C48" t="s">
        <v>398</v>
      </c>
      <c r="D48" t="s">
        <v>428</v>
      </c>
    </row>
    <row r="49" spans="1:4" x14ac:dyDescent="0.2">
      <c r="A49" t="s">
        <v>414</v>
      </c>
      <c r="B49" t="s">
        <v>424</v>
      </c>
      <c r="C49" t="s">
        <v>398</v>
      </c>
      <c r="D49" t="s">
        <v>429</v>
      </c>
    </row>
    <row r="50" spans="1:4" x14ac:dyDescent="0.2">
      <c r="A50" t="s">
        <v>414</v>
      </c>
      <c r="B50" t="s">
        <v>424</v>
      </c>
      <c r="C50" t="s">
        <v>398</v>
      </c>
      <c r="D50" t="s">
        <v>430</v>
      </c>
    </row>
    <row r="51" spans="1:4" x14ac:dyDescent="0.2">
      <c r="A51" t="s">
        <v>414</v>
      </c>
      <c r="B51" t="s">
        <v>424</v>
      </c>
      <c r="C51" t="s">
        <v>398</v>
      </c>
      <c r="D51" t="s">
        <v>431</v>
      </c>
    </row>
    <row r="52" spans="1:4" x14ac:dyDescent="0.2">
      <c r="A52" t="s">
        <v>414</v>
      </c>
      <c r="B52" t="s">
        <v>424</v>
      </c>
      <c r="C52" t="s">
        <v>398</v>
      </c>
      <c r="D52" t="s">
        <v>432</v>
      </c>
    </row>
    <row r="53" spans="1:4" x14ac:dyDescent="0.2">
      <c r="A53" t="s">
        <v>414</v>
      </c>
      <c r="B53" t="s">
        <v>424</v>
      </c>
      <c r="C53" t="s">
        <v>398</v>
      </c>
      <c r="D53" t="s">
        <v>433</v>
      </c>
    </row>
    <row r="54" spans="1:4" x14ac:dyDescent="0.2">
      <c r="A54" t="s">
        <v>414</v>
      </c>
      <c r="B54" t="s">
        <v>424</v>
      </c>
      <c r="C54" t="s">
        <v>398</v>
      </c>
      <c r="D54" t="s">
        <v>434</v>
      </c>
    </row>
    <row r="55" spans="1:4" x14ac:dyDescent="0.2">
      <c r="A55" t="s">
        <v>414</v>
      </c>
      <c r="B55" t="s">
        <v>424</v>
      </c>
      <c r="C55" t="s">
        <v>398</v>
      </c>
      <c r="D55" t="s">
        <v>435</v>
      </c>
    </row>
    <row r="56" spans="1:4" x14ac:dyDescent="0.2">
      <c r="A56" t="s">
        <v>414</v>
      </c>
      <c r="B56" t="s">
        <v>424</v>
      </c>
      <c r="C56" t="s">
        <v>398</v>
      </c>
      <c r="D56" t="s">
        <v>436</v>
      </c>
    </row>
    <row r="57" spans="1:4" x14ac:dyDescent="0.2">
      <c r="A57" t="s">
        <v>414</v>
      </c>
      <c r="B57" t="s">
        <v>424</v>
      </c>
      <c r="C57" t="s">
        <v>398</v>
      </c>
      <c r="D57" t="s">
        <v>437</v>
      </c>
    </row>
    <row r="58" spans="1:4" x14ac:dyDescent="0.2">
      <c r="A58" t="s">
        <v>414</v>
      </c>
      <c r="B58" t="s">
        <v>424</v>
      </c>
      <c r="C58" t="s">
        <v>398</v>
      </c>
      <c r="D58" t="s">
        <v>438</v>
      </c>
    </row>
    <row r="59" spans="1:4" x14ac:dyDescent="0.2">
      <c r="A59" t="s">
        <v>414</v>
      </c>
      <c r="B59" t="s">
        <v>424</v>
      </c>
      <c r="C59" t="s">
        <v>398</v>
      </c>
      <c r="D59" t="s">
        <v>439</v>
      </c>
    </row>
    <row r="60" spans="1:4" x14ac:dyDescent="0.2">
      <c r="A60" t="s">
        <v>414</v>
      </c>
      <c r="B60" t="s">
        <v>424</v>
      </c>
      <c r="C60" t="s">
        <v>398</v>
      </c>
      <c r="D60" t="s">
        <v>440</v>
      </c>
    </row>
    <row r="61" spans="1:4" x14ac:dyDescent="0.2">
      <c r="A61" t="s">
        <v>414</v>
      </c>
      <c r="B61" t="s">
        <v>424</v>
      </c>
      <c r="C61" t="s">
        <v>398</v>
      </c>
      <c r="D61" t="s">
        <v>441</v>
      </c>
    </row>
    <row r="62" spans="1:4" x14ac:dyDescent="0.2">
      <c r="A62" t="s">
        <v>414</v>
      </c>
      <c r="B62" t="s">
        <v>424</v>
      </c>
      <c r="C62" t="s">
        <v>398</v>
      </c>
      <c r="D62" t="s">
        <v>442</v>
      </c>
    </row>
    <row r="63" spans="1:4" x14ac:dyDescent="0.2">
      <c r="A63" t="s">
        <v>414</v>
      </c>
      <c r="B63" t="s">
        <v>424</v>
      </c>
      <c r="C63" t="s">
        <v>398</v>
      </c>
      <c r="D63" t="s">
        <v>443</v>
      </c>
    </row>
    <row r="64" spans="1:4" x14ac:dyDescent="0.2">
      <c r="A64" t="s">
        <v>414</v>
      </c>
      <c r="B64" t="s">
        <v>424</v>
      </c>
      <c r="C64" t="s">
        <v>398</v>
      </c>
      <c r="D64" t="s">
        <v>444</v>
      </c>
    </row>
    <row r="65" spans="1:4" x14ac:dyDescent="0.2">
      <c r="A65" t="s">
        <v>414</v>
      </c>
      <c r="B65" t="s">
        <v>424</v>
      </c>
      <c r="C65" t="s">
        <v>398</v>
      </c>
      <c r="D65" t="s">
        <v>445</v>
      </c>
    </row>
    <row r="66" spans="1:4" x14ac:dyDescent="0.2">
      <c r="A66" t="s">
        <v>414</v>
      </c>
      <c r="B66" t="s">
        <v>424</v>
      </c>
      <c r="C66" t="s">
        <v>398</v>
      </c>
      <c r="D66" t="s">
        <v>446</v>
      </c>
    </row>
    <row r="67" spans="1:4" x14ac:dyDescent="0.2">
      <c r="A67" t="s">
        <v>414</v>
      </c>
      <c r="B67" t="s">
        <v>424</v>
      </c>
      <c r="C67" t="s">
        <v>398</v>
      </c>
      <c r="D67" t="s">
        <v>447</v>
      </c>
    </row>
    <row r="68" spans="1:4" x14ac:dyDescent="0.2">
      <c r="A68" t="s">
        <v>414</v>
      </c>
      <c r="B68" t="s">
        <v>424</v>
      </c>
      <c r="C68" t="s">
        <v>398</v>
      </c>
      <c r="D68" t="s">
        <v>448</v>
      </c>
    </row>
    <row r="69" spans="1:4" x14ac:dyDescent="0.2">
      <c r="A69" t="s">
        <v>414</v>
      </c>
      <c r="B69" t="s">
        <v>424</v>
      </c>
      <c r="C69" t="s">
        <v>398</v>
      </c>
      <c r="D69" t="s">
        <v>449</v>
      </c>
    </row>
    <row r="70" spans="1:4" x14ac:dyDescent="0.2">
      <c r="A70" t="s">
        <v>414</v>
      </c>
      <c r="B70" t="s">
        <v>424</v>
      </c>
      <c r="C70" t="s">
        <v>398</v>
      </c>
      <c r="D70" t="s">
        <v>450</v>
      </c>
    </row>
    <row r="71" spans="1:4" x14ac:dyDescent="0.2">
      <c r="A71" t="s">
        <v>414</v>
      </c>
      <c r="B71" t="s">
        <v>424</v>
      </c>
      <c r="C71" t="s">
        <v>398</v>
      </c>
      <c r="D71" t="s">
        <v>451</v>
      </c>
    </row>
    <row r="72" spans="1:4" x14ac:dyDescent="0.2">
      <c r="A72" t="s">
        <v>414</v>
      </c>
      <c r="B72" t="s">
        <v>424</v>
      </c>
      <c r="C72" t="s">
        <v>398</v>
      </c>
      <c r="D72" t="s">
        <v>452</v>
      </c>
    </row>
    <row r="73" spans="1:4" x14ac:dyDescent="0.2">
      <c r="A73" t="s">
        <v>414</v>
      </c>
      <c r="B73" t="s">
        <v>424</v>
      </c>
      <c r="C73" t="s">
        <v>398</v>
      </c>
      <c r="D73" t="s">
        <v>453</v>
      </c>
    </row>
    <row r="74" spans="1:4" x14ac:dyDescent="0.2">
      <c r="A74" t="s">
        <v>414</v>
      </c>
      <c r="B74" t="s">
        <v>424</v>
      </c>
      <c r="C74" t="s">
        <v>398</v>
      </c>
      <c r="D74" t="s">
        <v>454</v>
      </c>
    </row>
    <row r="75" spans="1:4" x14ac:dyDescent="0.2">
      <c r="A75" t="s">
        <v>414</v>
      </c>
      <c r="B75" t="s">
        <v>424</v>
      </c>
      <c r="C75" t="s">
        <v>399</v>
      </c>
      <c r="D75" t="s">
        <v>455</v>
      </c>
    </row>
    <row r="76" spans="1:4" x14ac:dyDescent="0.2">
      <c r="A76" t="s">
        <v>414</v>
      </c>
      <c r="B76" t="s">
        <v>424</v>
      </c>
      <c r="C76" t="s">
        <v>399</v>
      </c>
      <c r="D76" t="s">
        <v>456</v>
      </c>
    </row>
    <row r="77" spans="1:4" x14ac:dyDescent="0.2">
      <c r="A77" t="s">
        <v>414</v>
      </c>
      <c r="B77" t="s">
        <v>424</v>
      </c>
      <c r="C77" t="s">
        <v>399</v>
      </c>
      <c r="D77" t="s">
        <v>457</v>
      </c>
    </row>
    <row r="78" spans="1:4" x14ac:dyDescent="0.2">
      <c r="A78" t="s">
        <v>414</v>
      </c>
      <c r="B78" t="s">
        <v>424</v>
      </c>
      <c r="C78" t="s">
        <v>399</v>
      </c>
      <c r="D78" t="s">
        <v>458</v>
      </c>
    </row>
    <row r="79" spans="1:4" x14ac:dyDescent="0.2">
      <c r="A79" t="s">
        <v>414</v>
      </c>
      <c r="B79" t="s">
        <v>424</v>
      </c>
      <c r="C79" t="s">
        <v>399</v>
      </c>
      <c r="D79" t="s">
        <v>459</v>
      </c>
    </row>
    <row r="80" spans="1:4" x14ac:dyDescent="0.2">
      <c r="A80" t="s">
        <v>414</v>
      </c>
      <c r="B80" t="s">
        <v>424</v>
      </c>
      <c r="C80" t="s">
        <v>399</v>
      </c>
      <c r="D80" t="s">
        <v>460</v>
      </c>
    </row>
    <row r="81" spans="1:4" x14ac:dyDescent="0.2">
      <c r="A81" t="s">
        <v>414</v>
      </c>
      <c r="B81" t="s">
        <v>424</v>
      </c>
      <c r="C81" t="s">
        <v>399</v>
      </c>
      <c r="D81" t="s">
        <v>461</v>
      </c>
    </row>
    <row r="82" spans="1:4" x14ac:dyDescent="0.2">
      <c r="A82" t="s">
        <v>414</v>
      </c>
      <c r="B82" t="s">
        <v>424</v>
      </c>
      <c r="C82" t="s">
        <v>399</v>
      </c>
      <c r="D82" t="s">
        <v>462</v>
      </c>
    </row>
    <row r="83" spans="1:4" x14ac:dyDescent="0.2">
      <c r="A83" t="s">
        <v>414</v>
      </c>
      <c r="B83" t="s">
        <v>424</v>
      </c>
      <c r="C83" t="s">
        <v>399</v>
      </c>
      <c r="D83" t="s">
        <v>463</v>
      </c>
    </row>
    <row r="84" spans="1:4" x14ac:dyDescent="0.2">
      <c r="A84" t="s">
        <v>414</v>
      </c>
      <c r="B84" t="s">
        <v>424</v>
      </c>
      <c r="C84" t="s">
        <v>399</v>
      </c>
      <c r="D84" t="s">
        <v>464</v>
      </c>
    </row>
    <row r="85" spans="1:4" x14ac:dyDescent="0.2">
      <c r="A85" t="s">
        <v>414</v>
      </c>
      <c r="B85" t="s">
        <v>424</v>
      </c>
      <c r="C85" t="s">
        <v>399</v>
      </c>
      <c r="D85" t="s">
        <v>465</v>
      </c>
    </row>
    <row r="86" spans="1:4" x14ac:dyDescent="0.2">
      <c r="A86" t="s">
        <v>414</v>
      </c>
      <c r="B86" t="s">
        <v>424</v>
      </c>
      <c r="C86" t="s">
        <v>399</v>
      </c>
      <c r="D86" t="s">
        <v>466</v>
      </c>
    </row>
    <row r="87" spans="1:4" x14ac:dyDescent="0.2">
      <c r="A87" t="s">
        <v>414</v>
      </c>
      <c r="B87" t="s">
        <v>424</v>
      </c>
      <c r="C87" t="s">
        <v>399</v>
      </c>
      <c r="D87" t="s">
        <v>467</v>
      </c>
    </row>
    <row r="88" spans="1:4" x14ac:dyDescent="0.2">
      <c r="A88" t="s">
        <v>414</v>
      </c>
      <c r="B88" t="s">
        <v>424</v>
      </c>
      <c r="C88" t="s">
        <v>399</v>
      </c>
      <c r="D88" t="s">
        <v>468</v>
      </c>
    </row>
    <row r="89" spans="1:4" x14ac:dyDescent="0.2">
      <c r="A89" t="s">
        <v>414</v>
      </c>
      <c r="B89" t="s">
        <v>424</v>
      </c>
      <c r="C89" t="s">
        <v>399</v>
      </c>
      <c r="D89" t="s">
        <v>469</v>
      </c>
    </row>
    <row r="90" spans="1:4" x14ac:dyDescent="0.2">
      <c r="A90" t="s">
        <v>414</v>
      </c>
      <c r="B90" t="s">
        <v>424</v>
      </c>
      <c r="C90" t="s">
        <v>399</v>
      </c>
      <c r="D90" t="s">
        <v>470</v>
      </c>
    </row>
    <row r="91" spans="1:4" x14ac:dyDescent="0.2">
      <c r="A91" t="s">
        <v>414</v>
      </c>
      <c r="B91" t="s">
        <v>424</v>
      </c>
      <c r="C91" t="s">
        <v>399</v>
      </c>
      <c r="D91" t="s">
        <v>471</v>
      </c>
    </row>
    <row r="92" spans="1:4" x14ac:dyDescent="0.2">
      <c r="A92" t="s">
        <v>414</v>
      </c>
      <c r="B92" t="s">
        <v>424</v>
      </c>
      <c r="C92" t="s">
        <v>399</v>
      </c>
      <c r="D92" t="s">
        <v>472</v>
      </c>
    </row>
    <row r="93" spans="1:4" x14ac:dyDescent="0.2">
      <c r="A93" t="s">
        <v>414</v>
      </c>
      <c r="B93" t="s">
        <v>424</v>
      </c>
      <c r="C93" t="s">
        <v>399</v>
      </c>
      <c r="D93" t="s">
        <v>473</v>
      </c>
    </row>
    <row r="94" spans="1:4" x14ac:dyDescent="0.2">
      <c r="A94" t="s">
        <v>414</v>
      </c>
      <c r="B94" t="s">
        <v>424</v>
      </c>
      <c r="C94" t="s">
        <v>399</v>
      </c>
      <c r="D94" t="s">
        <v>474</v>
      </c>
    </row>
    <row r="95" spans="1:4" x14ac:dyDescent="0.2">
      <c r="A95" t="s">
        <v>414</v>
      </c>
      <c r="B95" t="s">
        <v>424</v>
      </c>
      <c r="C95" t="s">
        <v>399</v>
      </c>
      <c r="D95" t="s">
        <v>475</v>
      </c>
    </row>
    <row r="96" spans="1:4" x14ac:dyDescent="0.2">
      <c r="A96" t="s">
        <v>414</v>
      </c>
      <c r="B96" t="s">
        <v>424</v>
      </c>
      <c r="C96" t="s">
        <v>399</v>
      </c>
      <c r="D96" t="s">
        <v>476</v>
      </c>
    </row>
    <row r="97" spans="1:4" x14ac:dyDescent="0.2">
      <c r="A97" t="s">
        <v>414</v>
      </c>
      <c r="B97" t="s">
        <v>424</v>
      </c>
      <c r="C97" t="s">
        <v>399</v>
      </c>
      <c r="D97" t="s">
        <v>477</v>
      </c>
    </row>
    <row r="98" spans="1:4" x14ac:dyDescent="0.2">
      <c r="A98" t="s">
        <v>414</v>
      </c>
      <c r="B98" t="s">
        <v>424</v>
      </c>
      <c r="C98" t="s">
        <v>399</v>
      </c>
      <c r="D98" t="s">
        <v>478</v>
      </c>
    </row>
    <row r="99" spans="1:4" x14ac:dyDescent="0.2">
      <c r="A99" t="s">
        <v>414</v>
      </c>
      <c r="B99" t="s">
        <v>424</v>
      </c>
      <c r="C99" t="s">
        <v>399</v>
      </c>
      <c r="D99" t="s">
        <v>479</v>
      </c>
    </row>
    <row r="100" spans="1:4" x14ac:dyDescent="0.2">
      <c r="A100" t="s">
        <v>414</v>
      </c>
      <c r="B100" t="s">
        <v>424</v>
      </c>
      <c r="C100" t="s">
        <v>399</v>
      </c>
      <c r="D100" t="s">
        <v>480</v>
      </c>
    </row>
    <row r="101" spans="1:4" x14ac:dyDescent="0.2">
      <c r="A101" t="s">
        <v>414</v>
      </c>
      <c r="B101" t="s">
        <v>424</v>
      </c>
      <c r="C101" t="s">
        <v>399</v>
      </c>
      <c r="D101" t="s">
        <v>481</v>
      </c>
    </row>
    <row r="102" spans="1:4" x14ac:dyDescent="0.2">
      <c r="A102" t="s">
        <v>414</v>
      </c>
      <c r="B102" t="s">
        <v>424</v>
      </c>
      <c r="C102" t="s">
        <v>399</v>
      </c>
      <c r="D102" t="s">
        <v>482</v>
      </c>
    </row>
    <row r="103" spans="1:4" x14ac:dyDescent="0.2">
      <c r="A103" t="s">
        <v>414</v>
      </c>
      <c r="B103" t="s">
        <v>424</v>
      </c>
      <c r="C103" t="s">
        <v>399</v>
      </c>
      <c r="D103" t="s">
        <v>483</v>
      </c>
    </row>
    <row r="104" spans="1:4" x14ac:dyDescent="0.2">
      <c r="A104" t="s">
        <v>414</v>
      </c>
      <c r="B104" t="s">
        <v>424</v>
      </c>
      <c r="C104" t="s">
        <v>399</v>
      </c>
      <c r="D104" t="s">
        <v>484</v>
      </c>
    </row>
    <row r="105" spans="1:4" x14ac:dyDescent="0.2">
      <c r="A105" t="s">
        <v>414</v>
      </c>
      <c r="B105" t="s">
        <v>424</v>
      </c>
      <c r="C105" t="s">
        <v>399</v>
      </c>
      <c r="D105" t="s">
        <v>485</v>
      </c>
    </row>
    <row r="106" spans="1:4" x14ac:dyDescent="0.2">
      <c r="A106" t="s">
        <v>414</v>
      </c>
      <c r="B106" t="s">
        <v>424</v>
      </c>
      <c r="C106" t="s">
        <v>399</v>
      </c>
      <c r="D106" t="s">
        <v>486</v>
      </c>
    </row>
    <row r="107" spans="1:4" x14ac:dyDescent="0.2">
      <c r="A107" t="s">
        <v>414</v>
      </c>
      <c r="B107" t="s">
        <v>424</v>
      </c>
      <c r="C107" t="s">
        <v>399</v>
      </c>
      <c r="D107" t="s">
        <v>487</v>
      </c>
    </row>
    <row r="108" spans="1:4" x14ac:dyDescent="0.2">
      <c r="A108" t="s">
        <v>414</v>
      </c>
      <c r="B108" t="s">
        <v>424</v>
      </c>
      <c r="C108" t="s">
        <v>399</v>
      </c>
      <c r="D108" t="s">
        <v>488</v>
      </c>
    </row>
    <row r="109" spans="1:4" x14ac:dyDescent="0.2">
      <c r="A109" t="s">
        <v>414</v>
      </c>
      <c r="B109" t="s">
        <v>424</v>
      </c>
      <c r="C109" t="s">
        <v>399</v>
      </c>
      <c r="D109" t="s">
        <v>489</v>
      </c>
    </row>
    <row r="110" spans="1:4" x14ac:dyDescent="0.2">
      <c r="A110" t="s">
        <v>414</v>
      </c>
      <c r="B110" t="s">
        <v>424</v>
      </c>
      <c r="C110" t="s">
        <v>399</v>
      </c>
      <c r="D110" t="s">
        <v>490</v>
      </c>
    </row>
    <row r="111" spans="1:4" x14ac:dyDescent="0.2">
      <c r="A111" t="s">
        <v>414</v>
      </c>
      <c r="B111" t="s">
        <v>424</v>
      </c>
      <c r="C111" t="s">
        <v>399</v>
      </c>
      <c r="D111" t="s">
        <v>491</v>
      </c>
    </row>
    <row r="112" spans="1:4" x14ac:dyDescent="0.2">
      <c r="A112" t="s">
        <v>414</v>
      </c>
      <c r="B112" t="s">
        <v>424</v>
      </c>
      <c r="C112" t="s">
        <v>399</v>
      </c>
      <c r="D112" t="s">
        <v>492</v>
      </c>
    </row>
    <row r="113" spans="1:4" x14ac:dyDescent="0.2">
      <c r="A113" t="s">
        <v>414</v>
      </c>
      <c r="B113" t="s">
        <v>424</v>
      </c>
      <c r="C113" t="s">
        <v>399</v>
      </c>
      <c r="D113" t="s">
        <v>493</v>
      </c>
    </row>
    <row r="114" spans="1:4" x14ac:dyDescent="0.2">
      <c r="A114" t="s">
        <v>414</v>
      </c>
      <c r="B114" t="s">
        <v>424</v>
      </c>
      <c r="C114" t="s">
        <v>399</v>
      </c>
      <c r="D114" t="s">
        <v>494</v>
      </c>
    </row>
    <row r="115" spans="1:4" x14ac:dyDescent="0.2">
      <c r="A115" t="s">
        <v>414</v>
      </c>
      <c r="B115" t="s">
        <v>424</v>
      </c>
      <c r="C115" t="s">
        <v>399</v>
      </c>
      <c r="D115" t="s">
        <v>495</v>
      </c>
    </row>
    <row r="116" spans="1:4" x14ac:dyDescent="0.2">
      <c r="A116" t="s">
        <v>414</v>
      </c>
      <c r="B116" t="s">
        <v>424</v>
      </c>
      <c r="C116" t="s">
        <v>399</v>
      </c>
      <c r="D116" t="s">
        <v>496</v>
      </c>
    </row>
    <row r="117" spans="1:4" x14ac:dyDescent="0.2">
      <c r="A117" t="s">
        <v>414</v>
      </c>
      <c r="B117" t="s">
        <v>424</v>
      </c>
      <c r="C117" t="s">
        <v>399</v>
      </c>
      <c r="D117" t="s">
        <v>497</v>
      </c>
    </row>
    <row r="118" spans="1:4" x14ac:dyDescent="0.2">
      <c r="A118" t="s">
        <v>414</v>
      </c>
      <c r="B118" t="s">
        <v>424</v>
      </c>
      <c r="C118" t="s">
        <v>399</v>
      </c>
      <c r="D118" t="s">
        <v>498</v>
      </c>
    </row>
    <row r="119" spans="1:4" x14ac:dyDescent="0.2">
      <c r="A119" t="s">
        <v>414</v>
      </c>
      <c r="B119" t="s">
        <v>424</v>
      </c>
      <c r="C119" t="s">
        <v>399</v>
      </c>
      <c r="D119" t="s">
        <v>499</v>
      </c>
    </row>
    <row r="120" spans="1:4" x14ac:dyDescent="0.2">
      <c r="A120" t="s">
        <v>414</v>
      </c>
      <c r="B120" t="s">
        <v>424</v>
      </c>
      <c r="C120" t="s">
        <v>399</v>
      </c>
      <c r="D120" t="s">
        <v>500</v>
      </c>
    </row>
    <row r="121" spans="1:4" x14ac:dyDescent="0.2">
      <c r="A121" t="s">
        <v>414</v>
      </c>
      <c r="B121" t="s">
        <v>424</v>
      </c>
      <c r="C121" t="s">
        <v>399</v>
      </c>
      <c r="D121" t="s">
        <v>501</v>
      </c>
    </row>
    <row r="122" spans="1:4" x14ac:dyDescent="0.2">
      <c r="A122" t="s">
        <v>414</v>
      </c>
      <c r="B122" t="s">
        <v>424</v>
      </c>
      <c r="C122" t="s">
        <v>399</v>
      </c>
      <c r="D122" t="s">
        <v>502</v>
      </c>
    </row>
    <row r="123" spans="1:4" x14ac:dyDescent="0.2">
      <c r="A123" t="s">
        <v>414</v>
      </c>
      <c r="B123" t="s">
        <v>424</v>
      </c>
      <c r="C123" t="s">
        <v>399</v>
      </c>
      <c r="D123" t="s">
        <v>503</v>
      </c>
    </row>
    <row r="124" spans="1:4" x14ac:dyDescent="0.2">
      <c r="A124" t="s">
        <v>414</v>
      </c>
      <c r="B124" t="s">
        <v>424</v>
      </c>
      <c r="C124" t="s">
        <v>399</v>
      </c>
      <c r="D124" t="s">
        <v>504</v>
      </c>
    </row>
    <row r="125" spans="1:4" x14ac:dyDescent="0.2">
      <c r="A125" t="s">
        <v>414</v>
      </c>
      <c r="B125" t="s">
        <v>424</v>
      </c>
      <c r="C125" t="s">
        <v>399</v>
      </c>
      <c r="D125" t="s">
        <v>505</v>
      </c>
    </row>
    <row r="126" spans="1:4" x14ac:dyDescent="0.2">
      <c r="A126" t="s">
        <v>414</v>
      </c>
      <c r="B126" t="s">
        <v>424</v>
      </c>
      <c r="C126" t="s">
        <v>399</v>
      </c>
      <c r="D126" t="s">
        <v>506</v>
      </c>
    </row>
    <row r="127" spans="1:4" x14ac:dyDescent="0.2">
      <c r="A127" t="s">
        <v>414</v>
      </c>
      <c r="B127" t="s">
        <v>424</v>
      </c>
      <c r="C127" t="s">
        <v>399</v>
      </c>
      <c r="D127" t="s">
        <v>507</v>
      </c>
    </row>
    <row r="128" spans="1:4" x14ac:dyDescent="0.2">
      <c r="A128" t="s">
        <v>414</v>
      </c>
      <c r="B128" t="s">
        <v>424</v>
      </c>
      <c r="C128" t="s">
        <v>399</v>
      </c>
      <c r="D128" t="s">
        <v>508</v>
      </c>
    </row>
    <row r="129" spans="1:4" x14ac:dyDescent="0.2">
      <c r="A129" t="s">
        <v>414</v>
      </c>
      <c r="B129" t="s">
        <v>424</v>
      </c>
      <c r="C129" t="s">
        <v>399</v>
      </c>
      <c r="D129" t="s">
        <v>509</v>
      </c>
    </row>
    <row r="130" spans="1:4" x14ac:dyDescent="0.2">
      <c r="A130" t="s">
        <v>414</v>
      </c>
      <c r="B130" t="s">
        <v>424</v>
      </c>
      <c r="C130" t="s">
        <v>399</v>
      </c>
      <c r="D130" t="s">
        <v>510</v>
      </c>
    </row>
    <row r="131" spans="1:4" x14ac:dyDescent="0.2">
      <c r="A131" t="s">
        <v>414</v>
      </c>
      <c r="B131" t="s">
        <v>424</v>
      </c>
      <c r="C131" t="s">
        <v>399</v>
      </c>
      <c r="D131" t="s">
        <v>511</v>
      </c>
    </row>
    <row r="132" spans="1:4" x14ac:dyDescent="0.2">
      <c r="A132" t="s">
        <v>414</v>
      </c>
      <c r="B132" t="s">
        <v>424</v>
      </c>
      <c r="C132" t="s">
        <v>399</v>
      </c>
      <c r="D132" t="s">
        <v>512</v>
      </c>
    </row>
    <row r="133" spans="1:4" x14ac:dyDescent="0.2">
      <c r="A133" t="s">
        <v>414</v>
      </c>
      <c r="B133" t="s">
        <v>424</v>
      </c>
      <c r="C133" t="s">
        <v>399</v>
      </c>
      <c r="D133" t="s">
        <v>513</v>
      </c>
    </row>
    <row r="134" spans="1:4" x14ac:dyDescent="0.2">
      <c r="A134" t="s">
        <v>414</v>
      </c>
      <c r="B134" t="s">
        <v>424</v>
      </c>
      <c r="C134" t="s">
        <v>399</v>
      </c>
      <c r="D134" t="s">
        <v>514</v>
      </c>
    </row>
    <row r="135" spans="1:4" x14ac:dyDescent="0.2">
      <c r="A135" t="s">
        <v>414</v>
      </c>
      <c r="B135" t="s">
        <v>424</v>
      </c>
      <c r="C135" t="s">
        <v>399</v>
      </c>
      <c r="D135" t="s">
        <v>515</v>
      </c>
    </row>
    <row r="136" spans="1:4" x14ac:dyDescent="0.2">
      <c r="A136" t="s">
        <v>414</v>
      </c>
      <c r="B136" t="s">
        <v>424</v>
      </c>
      <c r="C136" t="s">
        <v>399</v>
      </c>
      <c r="D136" t="s">
        <v>516</v>
      </c>
    </row>
    <row r="137" spans="1:4" x14ac:dyDescent="0.2">
      <c r="A137" t="s">
        <v>414</v>
      </c>
      <c r="B137" t="s">
        <v>424</v>
      </c>
      <c r="C137" t="s">
        <v>399</v>
      </c>
      <c r="D137" t="s">
        <v>517</v>
      </c>
    </row>
    <row r="138" spans="1:4" x14ac:dyDescent="0.2">
      <c r="A138" t="s">
        <v>414</v>
      </c>
      <c r="B138" t="s">
        <v>424</v>
      </c>
      <c r="C138" t="s">
        <v>399</v>
      </c>
      <c r="D138" t="s">
        <v>518</v>
      </c>
    </row>
    <row r="139" spans="1:4" x14ac:dyDescent="0.2">
      <c r="A139" t="s">
        <v>414</v>
      </c>
      <c r="B139" t="s">
        <v>424</v>
      </c>
      <c r="C139" t="s">
        <v>399</v>
      </c>
      <c r="D139" t="s">
        <v>519</v>
      </c>
    </row>
    <row r="140" spans="1:4" x14ac:dyDescent="0.2">
      <c r="A140" t="s">
        <v>414</v>
      </c>
      <c r="B140" t="s">
        <v>424</v>
      </c>
      <c r="C140" t="s">
        <v>399</v>
      </c>
      <c r="D140" t="s">
        <v>520</v>
      </c>
    </row>
    <row r="141" spans="1:4" x14ac:dyDescent="0.2">
      <c r="A141" t="s">
        <v>414</v>
      </c>
      <c r="B141" t="s">
        <v>424</v>
      </c>
      <c r="C141" t="s">
        <v>399</v>
      </c>
      <c r="D141" t="s">
        <v>521</v>
      </c>
    </row>
    <row r="142" spans="1:4" x14ac:dyDescent="0.2">
      <c r="A142" t="s">
        <v>414</v>
      </c>
      <c r="B142" t="s">
        <v>424</v>
      </c>
      <c r="C142" t="s">
        <v>399</v>
      </c>
      <c r="D142" t="s">
        <v>522</v>
      </c>
    </row>
    <row r="143" spans="1:4" x14ac:dyDescent="0.2">
      <c r="A143" t="s">
        <v>414</v>
      </c>
      <c r="B143" t="s">
        <v>424</v>
      </c>
      <c r="C143" t="s">
        <v>399</v>
      </c>
      <c r="D143" t="s">
        <v>523</v>
      </c>
    </row>
    <row r="144" spans="1:4" x14ac:dyDescent="0.2">
      <c r="A144" t="s">
        <v>414</v>
      </c>
      <c r="B144" t="s">
        <v>424</v>
      </c>
      <c r="C144" t="s">
        <v>399</v>
      </c>
      <c r="D144" t="s">
        <v>524</v>
      </c>
    </row>
    <row r="145" spans="1:4" x14ac:dyDescent="0.2">
      <c r="A145" t="s">
        <v>414</v>
      </c>
      <c r="B145" t="s">
        <v>424</v>
      </c>
      <c r="C145" t="s">
        <v>399</v>
      </c>
      <c r="D145" t="s">
        <v>525</v>
      </c>
    </row>
    <row r="146" spans="1:4" x14ac:dyDescent="0.2">
      <c r="A146" t="s">
        <v>414</v>
      </c>
      <c r="B146" t="s">
        <v>424</v>
      </c>
      <c r="C146" t="s">
        <v>399</v>
      </c>
      <c r="D146" t="s">
        <v>526</v>
      </c>
    </row>
    <row r="147" spans="1:4" x14ac:dyDescent="0.2">
      <c r="A147" t="s">
        <v>414</v>
      </c>
      <c r="B147" t="s">
        <v>424</v>
      </c>
      <c r="C147" t="s">
        <v>399</v>
      </c>
      <c r="D147" t="s">
        <v>527</v>
      </c>
    </row>
    <row r="148" spans="1:4" x14ac:dyDescent="0.2">
      <c r="A148" t="s">
        <v>414</v>
      </c>
      <c r="B148" t="s">
        <v>424</v>
      </c>
      <c r="C148" t="s">
        <v>399</v>
      </c>
      <c r="D148" t="s">
        <v>528</v>
      </c>
    </row>
    <row r="149" spans="1:4" x14ac:dyDescent="0.2">
      <c r="A149" t="s">
        <v>414</v>
      </c>
      <c r="B149" t="s">
        <v>424</v>
      </c>
      <c r="C149" t="s">
        <v>399</v>
      </c>
      <c r="D149" t="s">
        <v>529</v>
      </c>
    </row>
    <row r="150" spans="1:4" x14ac:dyDescent="0.2">
      <c r="A150" t="s">
        <v>414</v>
      </c>
      <c r="B150" t="s">
        <v>424</v>
      </c>
      <c r="C150" t="s">
        <v>399</v>
      </c>
      <c r="D150" t="s">
        <v>530</v>
      </c>
    </row>
    <row r="151" spans="1:4" x14ac:dyDescent="0.2">
      <c r="A151" t="s">
        <v>414</v>
      </c>
      <c r="B151" t="s">
        <v>424</v>
      </c>
      <c r="C151" t="s">
        <v>399</v>
      </c>
      <c r="D151" t="s">
        <v>531</v>
      </c>
    </row>
    <row r="152" spans="1:4" x14ac:dyDescent="0.2">
      <c r="A152" t="s">
        <v>414</v>
      </c>
      <c r="B152" t="s">
        <v>424</v>
      </c>
      <c r="C152" t="s">
        <v>399</v>
      </c>
      <c r="D152" t="s">
        <v>532</v>
      </c>
    </row>
    <row r="153" spans="1:4" x14ac:dyDescent="0.2">
      <c r="A153" t="s">
        <v>414</v>
      </c>
      <c r="B153" t="s">
        <v>424</v>
      </c>
      <c r="C153" t="s">
        <v>399</v>
      </c>
      <c r="D153" t="s">
        <v>533</v>
      </c>
    </row>
    <row r="154" spans="1:4" x14ac:dyDescent="0.2">
      <c r="A154" t="s">
        <v>414</v>
      </c>
      <c r="B154" t="s">
        <v>424</v>
      </c>
      <c r="C154" t="s">
        <v>399</v>
      </c>
      <c r="D154" t="s">
        <v>534</v>
      </c>
    </row>
    <row r="155" spans="1:4" x14ac:dyDescent="0.2">
      <c r="A155" t="s">
        <v>414</v>
      </c>
      <c r="B155" t="s">
        <v>424</v>
      </c>
      <c r="C155" t="s">
        <v>399</v>
      </c>
      <c r="D155" t="s">
        <v>535</v>
      </c>
    </row>
    <row r="156" spans="1:4" x14ac:dyDescent="0.2">
      <c r="A156" t="s">
        <v>414</v>
      </c>
      <c r="B156" t="s">
        <v>424</v>
      </c>
      <c r="C156" t="s">
        <v>399</v>
      </c>
      <c r="D156" t="s">
        <v>536</v>
      </c>
    </row>
    <row r="157" spans="1:4" x14ac:dyDescent="0.2">
      <c r="A157" t="s">
        <v>414</v>
      </c>
      <c r="B157" t="s">
        <v>424</v>
      </c>
      <c r="C157" t="s">
        <v>399</v>
      </c>
      <c r="D157" t="s">
        <v>537</v>
      </c>
    </row>
    <row r="158" spans="1:4" x14ac:dyDescent="0.2">
      <c r="A158" t="s">
        <v>414</v>
      </c>
      <c r="B158" t="s">
        <v>424</v>
      </c>
      <c r="C158" t="s">
        <v>399</v>
      </c>
      <c r="D158" t="s">
        <v>538</v>
      </c>
    </row>
    <row r="159" spans="1:4" x14ac:dyDescent="0.2">
      <c r="A159" t="s">
        <v>414</v>
      </c>
      <c r="B159" t="s">
        <v>424</v>
      </c>
      <c r="C159" t="s">
        <v>399</v>
      </c>
      <c r="D159" t="s">
        <v>539</v>
      </c>
    </row>
    <row r="160" spans="1:4" x14ac:dyDescent="0.2">
      <c r="A160" t="s">
        <v>414</v>
      </c>
      <c r="B160" t="s">
        <v>424</v>
      </c>
      <c r="C160" t="s">
        <v>399</v>
      </c>
      <c r="D160" t="s">
        <v>540</v>
      </c>
    </row>
    <row r="161" spans="1:4" x14ac:dyDescent="0.2">
      <c r="A161" t="s">
        <v>414</v>
      </c>
      <c r="B161" t="s">
        <v>424</v>
      </c>
      <c r="C161" t="s">
        <v>399</v>
      </c>
      <c r="D161" t="s">
        <v>541</v>
      </c>
    </row>
    <row r="162" spans="1:4" x14ac:dyDescent="0.2">
      <c r="A162" t="s">
        <v>414</v>
      </c>
      <c r="B162" t="s">
        <v>424</v>
      </c>
      <c r="C162" t="s">
        <v>399</v>
      </c>
      <c r="D162" t="s">
        <v>542</v>
      </c>
    </row>
    <row r="163" spans="1:4" x14ac:dyDescent="0.2">
      <c r="A163" t="s">
        <v>414</v>
      </c>
      <c r="B163" t="s">
        <v>424</v>
      </c>
      <c r="C163" t="s">
        <v>399</v>
      </c>
      <c r="D163" t="s">
        <v>543</v>
      </c>
    </row>
    <row r="164" spans="1:4" x14ac:dyDescent="0.2">
      <c r="A164" t="s">
        <v>414</v>
      </c>
      <c r="B164" t="s">
        <v>424</v>
      </c>
      <c r="C164" t="s">
        <v>399</v>
      </c>
      <c r="D164" t="s">
        <v>544</v>
      </c>
    </row>
    <row r="165" spans="1:4" x14ac:dyDescent="0.2">
      <c r="A165" t="s">
        <v>414</v>
      </c>
      <c r="B165" t="s">
        <v>424</v>
      </c>
      <c r="C165" t="s">
        <v>399</v>
      </c>
      <c r="D165" t="s">
        <v>545</v>
      </c>
    </row>
    <row r="166" spans="1:4" x14ac:dyDescent="0.2">
      <c r="A166" t="s">
        <v>414</v>
      </c>
      <c r="B166" t="s">
        <v>424</v>
      </c>
      <c r="C166" t="s">
        <v>399</v>
      </c>
      <c r="D166" t="s">
        <v>546</v>
      </c>
    </row>
    <row r="167" spans="1:4" x14ac:dyDescent="0.2">
      <c r="A167" t="s">
        <v>414</v>
      </c>
      <c r="B167" t="s">
        <v>424</v>
      </c>
      <c r="C167" t="s">
        <v>399</v>
      </c>
      <c r="D167" t="s">
        <v>547</v>
      </c>
    </row>
    <row r="168" spans="1:4" x14ac:dyDescent="0.2">
      <c r="A168" t="s">
        <v>414</v>
      </c>
      <c r="B168" t="s">
        <v>424</v>
      </c>
      <c r="C168" t="s">
        <v>399</v>
      </c>
      <c r="D168" t="s">
        <v>548</v>
      </c>
    </row>
    <row r="169" spans="1:4" x14ac:dyDescent="0.2">
      <c r="A169" t="s">
        <v>414</v>
      </c>
      <c r="B169" t="s">
        <v>424</v>
      </c>
      <c r="C169" t="s">
        <v>399</v>
      </c>
      <c r="D169" t="s">
        <v>549</v>
      </c>
    </row>
    <row r="170" spans="1:4" x14ac:dyDescent="0.2">
      <c r="A170" t="s">
        <v>414</v>
      </c>
      <c r="B170" t="s">
        <v>424</v>
      </c>
      <c r="C170" t="s">
        <v>399</v>
      </c>
      <c r="D170" t="s">
        <v>550</v>
      </c>
    </row>
    <row r="171" spans="1:4" x14ac:dyDescent="0.2">
      <c r="A171" t="s">
        <v>414</v>
      </c>
      <c r="B171" t="s">
        <v>424</v>
      </c>
      <c r="C171" t="s">
        <v>399</v>
      </c>
      <c r="D171" t="s">
        <v>551</v>
      </c>
    </row>
    <row r="172" spans="1:4" x14ac:dyDescent="0.2">
      <c r="A172" t="s">
        <v>414</v>
      </c>
      <c r="B172" t="s">
        <v>424</v>
      </c>
      <c r="C172" t="s">
        <v>399</v>
      </c>
      <c r="D172" t="s">
        <v>552</v>
      </c>
    </row>
    <row r="173" spans="1:4" x14ac:dyDescent="0.2">
      <c r="A173" t="s">
        <v>414</v>
      </c>
      <c r="B173" t="s">
        <v>424</v>
      </c>
      <c r="C173" t="s">
        <v>399</v>
      </c>
      <c r="D173" t="s">
        <v>553</v>
      </c>
    </row>
    <row r="174" spans="1:4" x14ac:dyDescent="0.2">
      <c r="A174" t="s">
        <v>414</v>
      </c>
      <c r="B174" t="s">
        <v>424</v>
      </c>
      <c r="C174" t="s">
        <v>399</v>
      </c>
      <c r="D174" t="s">
        <v>554</v>
      </c>
    </row>
    <row r="175" spans="1:4" x14ac:dyDescent="0.2">
      <c r="A175" t="s">
        <v>414</v>
      </c>
      <c r="B175" t="s">
        <v>424</v>
      </c>
      <c r="C175" t="s">
        <v>399</v>
      </c>
      <c r="D175" t="s">
        <v>555</v>
      </c>
    </row>
    <row r="176" spans="1:4" x14ac:dyDescent="0.2">
      <c r="A176" t="s">
        <v>414</v>
      </c>
      <c r="B176" t="s">
        <v>424</v>
      </c>
      <c r="C176" t="s">
        <v>399</v>
      </c>
      <c r="D176" t="s">
        <v>556</v>
      </c>
    </row>
    <row r="177" spans="1:4" x14ac:dyDescent="0.2">
      <c r="A177" t="s">
        <v>414</v>
      </c>
      <c r="B177" t="s">
        <v>424</v>
      </c>
      <c r="C177" t="s">
        <v>399</v>
      </c>
      <c r="D177" t="s">
        <v>557</v>
      </c>
    </row>
    <row r="178" spans="1:4" x14ac:dyDescent="0.2">
      <c r="A178" t="s">
        <v>414</v>
      </c>
      <c r="B178" t="s">
        <v>424</v>
      </c>
      <c r="C178" t="s">
        <v>399</v>
      </c>
      <c r="D178" t="s">
        <v>558</v>
      </c>
    </row>
    <row r="179" spans="1:4" x14ac:dyDescent="0.2">
      <c r="A179" t="s">
        <v>414</v>
      </c>
      <c r="B179" t="s">
        <v>424</v>
      </c>
      <c r="C179" t="s">
        <v>399</v>
      </c>
      <c r="D179" t="s">
        <v>559</v>
      </c>
    </row>
    <row r="180" spans="1:4" x14ac:dyDescent="0.2">
      <c r="A180" t="s">
        <v>414</v>
      </c>
      <c r="B180" t="s">
        <v>424</v>
      </c>
      <c r="C180" t="s">
        <v>399</v>
      </c>
      <c r="D180" t="s">
        <v>560</v>
      </c>
    </row>
    <row r="181" spans="1:4" x14ac:dyDescent="0.2">
      <c r="A181" t="s">
        <v>414</v>
      </c>
      <c r="B181" t="s">
        <v>424</v>
      </c>
      <c r="C181" t="s">
        <v>399</v>
      </c>
      <c r="D181" t="s">
        <v>561</v>
      </c>
    </row>
    <row r="182" spans="1:4" x14ac:dyDescent="0.2">
      <c r="A182" t="s">
        <v>414</v>
      </c>
      <c r="B182" t="s">
        <v>424</v>
      </c>
      <c r="C182" t="s">
        <v>399</v>
      </c>
      <c r="D182" t="s">
        <v>562</v>
      </c>
    </row>
    <row r="183" spans="1:4" x14ac:dyDescent="0.2">
      <c r="A183" t="s">
        <v>414</v>
      </c>
      <c r="B183" t="s">
        <v>424</v>
      </c>
      <c r="C183" t="s">
        <v>399</v>
      </c>
      <c r="D183" t="s">
        <v>563</v>
      </c>
    </row>
    <row r="184" spans="1:4" x14ac:dyDescent="0.2">
      <c r="A184" t="s">
        <v>414</v>
      </c>
      <c r="B184" t="s">
        <v>424</v>
      </c>
      <c r="C184" t="s">
        <v>399</v>
      </c>
      <c r="D184" t="s">
        <v>564</v>
      </c>
    </row>
    <row r="185" spans="1:4" x14ac:dyDescent="0.2">
      <c r="A185" t="s">
        <v>414</v>
      </c>
      <c r="B185" t="s">
        <v>424</v>
      </c>
      <c r="C185" t="s">
        <v>399</v>
      </c>
      <c r="D185" t="s">
        <v>565</v>
      </c>
    </row>
    <row r="186" spans="1:4" x14ac:dyDescent="0.2">
      <c r="A186" t="s">
        <v>414</v>
      </c>
      <c r="B186" t="s">
        <v>424</v>
      </c>
      <c r="C186" t="s">
        <v>399</v>
      </c>
      <c r="D186" t="s">
        <v>566</v>
      </c>
    </row>
    <row r="187" spans="1:4" x14ac:dyDescent="0.2">
      <c r="A187" t="s">
        <v>414</v>
      </c>
      <c r="B187" t="s">
        <v>424</v>
      </c>
      <c r="C187" t="s">
        <v>399</v>
      </c>
      <c r="D187" t="s">
        <v>567</v>
      </c>
    </row>
    <row r="188" spans="1:4" x14ac:dyDescent="0.2">
      <c r="A188" t="s">
        <v>414</v>
      </c>
      <c r="B188" t="s">
        <v>424</v>
      </c>
      <c r="C188" t="s">
        <v>399</v>
      </c>
      <c r="D188" t="s">
        <v>568</v>
      </c>
    </row>
    <row r="189" spans="1:4" x14ac:dyDescent="0.2">
      <c r="A189" t="s">
        <v>414</v>
      </c>
      <c r="B189" t="s">
        <v>424</v>
      </c>
      <c r="C189" t="s">
        <v>399</v>
      </c>
      <c r="D189" t="s">
        <v>569</v>
      </c>
    </row>
    <row r="190" spans="1:4" x14ac:dyDescent="0.2">
      <c r="A190" t="s">
        <v>414</v>
      </c>
      <c r="B190" t="s">
        <v>424</v>
      </c>
      <c r="C190" t="s">
        <v>399</v>
      </c>
      <c r="D190" t="s">
        <v>570</v>
      </c>
    </row>
    <row r="191" spans="1:4" x14ac:dyDescent="0.2">
      <c r="A191" t="s">
        <v>414</v>
      </c>
      <c r="B191" t="s">
        <v>424</v>
      </c>
      <c r="C191" t="s">
        <v>399</v>
      </c>
      <c r="D191" t="s">
        <v>571</v>
      </c>
    </row>
    <row r="192" spans="1:4" x14ac:dyDescent="0.2">
      <c r="A192" t="s">
        <v>414</v>
      </c>
      <c r="B192" t="s">
        <v>424</v>
      </c>
      <c r="C192" t="s">
        <v>572</v>
      </c>
      <c r="D192" t="s">
        <v>573</v>
      </c>
    </row>
    <row r="193" spans="1:4" x14ac:dyDescent="0.2">
      <c r="A193" t="s">
        <v>414</v>
      </c>
      <c r="B193" t="s">
        <v>424</v>
      </c>
      <c r="C193" t="s">
        <v>572</v>
      </c>
      <c r="D193" t="s">
        <v>574</v>
      </c>
    </row>
    <row r="194" spans="1:4" x14ac:dyDescent="0.2">
      <c r="A194" t="s">
        <v>414</v>
      </c>
      <c r="B194" t="s">
        <v>424</v>
      </c>
      <c r="C194" t="s">
        <v>572</v>
      </c>
      <c r="D194" t="s">
        <v>575</v>
      </c>
    </row>
    <row r="195" spans="1:4" x14ac:dyDescent="0.2">
      <c r="A195" t="s">
        <v>414</v>
      </c>
      <c r="B195" t="s">
        <v>424</v>
      </c>
      <c r="C195" t="s">
        <v>572</v>
      </c>
      <c r="D195" t="s">
        <v>576</v>
      </c>
    </row>
    <row r="196" spans="1:4" x14ac:dyDescent="0.2">
      <c r="A196" t="s">
        <v>414</v>
      </c>
      <c r="B196" t="s">
        <v>424</v>
      </c>
      <c r="C196" t="s">
        <v>572</v>
      </c>
      <c r="D196" t="s">
        <v>577</v>
      </c>
    </row>
    <row r="197" spans="1:4" x14ac:dyDescent="0.2">
      <c r="A197" t="s">
        <v>414</v>
      </c>
      <c r="B197" t="s">
        <v>424</v>
      </c>
      <c r="C197" t="s">
        <v>578</v>
      </c>
      <c r="D197" t="s">
        <v>579</v>
      </c>
    </row>
    <row r="198" spans="1:4" x14ac:dyDescent="0.2">
      <c r="A198" t="s">
        <v>414</v>
      </c>
      <c r="B198" t="s">
        <v>424</v>
      </c>
      <c r="C198" t="s">
        <v>233</v>
      </c>
      <c r="D198" t="s">
        <v>580</v>
      </c>
    </row>
    <row r="199" spans="1:4" x14ac:dyDescent="0.2">
      <c r="A199" t="s">
        <v>414</v>
      </c>
      <c r="B199" t="s">
        <v>424</v>
      </c>
      <c r="C199" t="s">
        <v>233</v>
      </c>
      <c r="D199" t="s">
        <v>581</v>
      </c>
    </row>
    <row r="200" spans="1:4" x14ac:dyDescent="0.2">
      <c r="A200" t="s">
        <v>414</v>
      </c>
      <c r="B200" t="s">
        <v>424</v>
      </c>
      <c r="C200" t="s">
        <v>233</v>
      </c>
      <c r="D200" t="s">
        <v>582</v>
      </c>
    </row>
    <row r="201" spans="1:4" x14ac:dyDescent="0.2">
      <c r="A201" t="s">
        <v>414</v>
      </c>
      <c r="B201" t="s">
        <v>424</v>
      </c>
      <c r="C201" t="s">
        <v>233</v>
      </c>
      <c r="D201" t="s">
        <v>583</v>
      </c>
    </row>
    <row r="202" spans="1:4" x14ac:dyDescent="0.2">
      <c r="A202" t="s">
        <v>414</v>
      </c>
      <c r="B202" t="s">
        <v>424</v>
      </c>
      <c r="C202" t="s">
        <v>233</v>
      </c>
      <c r="D202" t="s">
        <v>584</v>
      </c>
    </row>
    <row r="203" spans="1:4" x14ac:dyDescent="0.2">
      <c r="A203" t="s">
        <v>414</v>
      </c>
      <c r="B203" t="s">
        <v>424</v>
      </c>
      <c r="C203" t="s">
        <v>233</v>
      </c>
      <c r="D203" t="s">
        <v>585</v>
      </c>
    </row>
    <row r="204" spans="1:4" x14ac:dyDescent="0.2">
      <c r="A204" t="s">
        <v>414</v>
      </c>
      <c r="B204" t="s">
        <v>424</v>
      </c>
      <c r="C204" t="s">
        <v>233</v>
      </c>
      <c r="D204" t="s">
        <v>586</v>
      </c>
    </row>
    <row r="205" spans="1:4" x14ac:dyDescent="0.2">
      <c r="A205" t="s">
        <v>414</v>
      </c>
      <c r="B205" t="s">
        <v>424</v>
      </c>
      <c r="C205" t="s">
        <v>233</v>
      </c>
      <c r="D205" t="s">
        <v>587</v>
      </c>
    </row>
    <row r="206" spans="1:4" x14ac:dyDescent="0.2">
      <c r="A206" t="s">
        <v>414</v>
      </c>
      <c r="B206" t="s">
        <v>424</v>
      </c>
      <c r="C206" t="s">
        <v>233</v>
      </c>
      <c r="D206" t="s">
        <v>588</v>
      </c>
    </row>
    <row r="207" spans="1:4" x14ac:dyDescent="0.2">
      <c r="A207" t="s">
        <v>414</v>
      </c>
      <c r="B207" t="s">
        <v>424</v>
      </c>
      <c r="C207" t="s">
        <v>233</v>
      </c>
      <c r="D207" t="s">
        <v>589</v>
      </c>
    </row>
    <row r="208" spans="1:4" x14ac:dyDescent="0.2">
      <c r="A208" t="s">
        <v>414</v>
      </c>
      <c r="B208" t="s">
        <v>424</v>
      </c>
      <c r="C208" t="s">
        <v>233</v>
      </c>
      <c r="D208" t="s">
        <v>590</v>
      </c>
    </row>
    <row r="209" spans="1:4" x14ac:dyDescent="0.2">
      <c r="A209" t="s">
        <v>414</v>
      </c>
      <c r="B209" t="s">
        <v>424</v>
      </c>
      <c r="C209" t="s">
        <v>233</v>
      </c>
      <c r="D209" t="s">
        <v>591</v>
      </c>
    </row>
    <row r="210" spans="1:4" x14ac:dyDescent="0.2">
      <c r="A210" t="s">
        <v>414</v>
      </c>
      <c r="B210" t="s">
        <v>424</v>
      </c>
      <c r="C210" t="s">
        <v>233</v>
      </c>
      <c r="D210" t="s">
        <v>592</v>
      </c>
    </row>
    <row r="211" spans="1:4" x14ac:dyDescent="0.2">
      <c r="A211" t="s">
        <v>414</v>
      </c>
      <c r="B211" t="s">
        <v>424</v>
      </c>
      <c r="C211" t="s">
        <v>233</v>
      </c>
      <c r="D211" t="s">
        <v>593</v>
      </c>
    </row>
    <row r="212" spans="1:4" x14ac:dyDescent="0.2">
      <c r="A212" t="s">
        <v>414</v>
      </c>
      <c r="B212" t="s">
        <v>424</v>
      </c>
      <c r="C212" t="s">
        <v>233</v>
      </c>
      <c r="D212" t="s">
        <v>594</v>
      </c>
    </row>
    <row r="213" spans="1:4" x14ac:dyDescent="0.2">
      <c r="A213" t="s">
        <v>414</v>
      </c>
      <c r="B213" t="s">
        <v>424</v>
      </c>
      <c r="C213" t="s">
        <v>233</v>
      </c>
      <c r="D213" t="s">
        <v>595</v>
      </c>
    </row>
    <row r="214" spans="1:4" x14ac:dyDescent="0.2">
      <c r="A214" t="s">
        <v>414</v>
      </c>
      <c r="B214" t="s">
        <v>424</v>
      </c>
      <c r="C214" t="s">
        <v>233</v>
      </c>
      <c r="D214" t="s">
        <v>596</v>
      </c>
    </row>
    <row r="215" spans="1:4" x14ac:dyDescent="0.2">
      <c r="A215" t="s">
        <v>414</v>
      </c>
      <c r="B215" t="s">
        <v>424</v>
      </c>
      <c r="C215" t="s">
        <v>233</v>
      </c>
      <c r="D215" t="s">
        <v>597</v>
      </c>
    </row>
    <row r="216" spans="1:4" x14ac:dyDescent="0.2">
      <c r="A216" t="s">
        <v>414</v>
      </c>
      <c r="B216" t="s">
        <v>424</v>
      </c>
      <c r="C216" t="s">
        <v>233</v>
      </c>
      <c r="D216" t="s">
        <v>598</v>
      </c>
    </row>
    <row r="217" spans="1:4" x14ac:dyDescent="0.2">
      <c r="A217" t="s">
        <v>414</v>
      </c>
      <c r="B217" t="s">
        <v>424</v>
      </c>
      <c r="C217" t="s">
        <v>233</v>
      </c>
      <c r="D217" t="s">
        <v>599</v>
      </c>
    </row>
    <row r="218" spans="1:4" x14ac:dyDescent="0.2">
      <c r="A218" t="s">
        <v>414</v>
      </c>
      <c r="B218" t="s">
        <v>424</v>
      </c>
      <c r="C218" t="s">
        <v>233</v>
      </c>
      <c r="D218" t="s">
        <v>600</v>
      </c>
    </row>
    <row r="219" spans="1:4" x14ac:dyDescent="0.2">
      <c r="A219" t="s">
        <v>414</v>
      </c>
      <c r="B219" t="s">
        <v>424</v>
      </c>
      <c r="C219" t="s">
        <v>233</v>
      </c>
      <c r="D219" t="s">
        <v>601</v>
      </c>
    </row>
    <row r="220" spans="1:4" x14ac:dyDescent="0.2">
      <c r="A220" t="s">
        <v>414</v>
      </c>
      <c r="B220" t="s">
        <v>424</v>
      </c>
      <c r="C220" t="s">
        <v>233</v>
      </c>
      <c r="D220" t="s">
        <v>602</v>
      </c>
    </row>
    <row r="221" spans="1:4" x14ac:dyDescent="0.2">
      <c r="A221" t="s">
        <v>414</v>
      </c>
      <c r="B221" t="s">
        <v>424</v>
      </c>
      <c r="C221" t="s">
        <v>233</v>
      </c>
      <c r="D221" t="s">
        <v>603</v>
      </c>
    </row>
    <row r="222" spans="1:4" x14ac:dyDescent="0.2">
      <c r="A222" t="s">
        <v>414</v>
      </c>
      <c r="B222" t="s">
        <v>424</v>
      </c>
      <c r="C222" t="s">
        <v>233</v>
      </c>
      <c r="D222" t="s">
        <v>604</v>
      </c>
    </row>
    <row r="223" spans="1:4" x14ac:dyDescent="0.2">
      <c r="A223" t="s">
        <v>414</v>
      </c>
      <c r="B223" t="s">
        <v>424</v>
      </c>
      <c r="C223" t="s">
        <v>233</v>
      </c>
      <c r="D223" t="s">
        <v>605</v>
      </c>
    </row>
    <row r="224" spans="1:4" x14ac:dyDescent="0.2">
      <c r="A224" t="s">
        <v>414</v>
      </c>
      <c r="B224" t="s">
        <v>424</v>
      </c>
      <c r="C224" t="s">
        <v>233</v>
      </c>
      <c r="D224" t="s">
        <v>606</v>
      </c>
    </row>
    <row r="225" spans="1:4" x14ac:dyDescent="0.2">
      <c r="A225" t="s">
        <v>414</v>
      </c>
      <c r="B225" t="s">
        <v>424</v>
      </c>
      <c r="C225" t="s">
        <v>233</v>
      </c>
      <c r="D225" t="s">
        <v>607</v>
      </c>
    </row>
    <row r="226" spans="1:4" x14ac:dyDescent="0.2">
      <c r="A226" t="s">
        <v>414</v>
      </c>
      <c r="B226" t="s">
        <v>424</v>
      </c>
      <c r="C226" t="s">
        <v>233</v>
      </c>
      <c r="D226" t="s">
        <v>608</v>
      </c>
    </row>
    <row r="227" spans="1:4" x14ac:dyDescent="0.2">
      <c r="A227" t="s">
        <v>414</v>
      </c>
      <c r="B227" t="s">
        <v>424</v>
      </c>
      <c r="C227" t="s">
        <v>233</v>
      </c>
      <c r="D227" t="s">
        <v>609</v>
      </c>
    </row>
    <row r="228" spans="1:4" x14ac:dyDescent="0.2">
      <c r="A228" t="s">
        <v>414</v>
      </c>
      <c r="B228" t="s">
        <v>424</v>
      </c>
      <c r="C228" t="s">
        <v>233</v>
      </c>
      <c r="D228" t="s">
        <v>610</v>
      </c>
    </row>
    <row r="229" spans="1:4" x14ac:dyDescent="0.2">
      <c r="A229" t="s">
        <v>414</v>
      </c>
      <c r="B229" t="s">
        <v>424</v>
      </c>
      <c r="C229" t="s">
        <v>233</v>
      </c>
      <c r="D229" t="s">
        <v>611</v>
      </c>
    </row>
    <row r="230" spans="1:4" x14ac:dyDescent="0.2">
      <c r="A230" t="s">
        <v>414</v>
      </c>
      <c r="B230" t="s">
        <v>424</v>
      </c>
      <c r="C230" t="s">
        <v>233</v>
      </c>
      <c r="D230" t="s">
        <v>612</v>
      </c>
    </row>
    <row r="231" spans="1:4" x14ac:dyDescent="0.2">
      <c r="A231" t="s">
        <v>414</v>
      </c>
      <c r="B231" t="s">
        <v>424</v>
      </c>
      <c r="C231" t="s">
        <v>233</v>
      </c>
      <c r="D231" t="s">
        <v>613</v>
      </c>
    </row>
    <row r="232" spans="1:4" x14ac:dyDescent="0.2">
      <c r="A232" t="s">
        <v>414</v>
      </c>
      <c r="B232" t="s">
        <v>424</v>
      </c>
      <c r="C232" t="s">
        <v>233</v>
      </c>
      <c r="D232" t="s">
        <v>614</v>
      </c>
    </row>
    <row r="233" spans="1:4" x14ac:dyDescent="0.2">
      <c r="A233" t="s">
        <v>414</v>
      </c>
      <c r="B233" t="s">
        <v>424</v>
      </c>
      <c r="C233" t="s">
        <v>233</v>
      </c>
      <c r="D233" t="s">
        <v>615</v>
      </c>
    </row>
    <row r="234" spans="1:4" x14ac:dyDescent="0.2">
      <c r="A234" t="s">
        <v>414</v>
      </c>
      <c r="B234" t="s">
        <v>424</v>
      </c>
      <c r="C234" t="s">
        <v>233</v>
      </c>
      <c r="D234" t="s">
        <v>616</v>
      </c>
    </row>
    <row r="235" spans="1:4" x14ac:dyDescent="0.2">
      <c r="A235" t="s">
        <v>414</v>
      </c>
      <c r="B235" t="s">
        <v>424</v>
      </c>
      <c r="C235" t="s">
        <v>233</v>
      </c>
      <c r="D235" t="s">
        <v>617</v>
      </c>
    </row>
    <row r="236" spans="1:4" x14ac:dyDescent="0.2">
      <c r="A236" t="s">
        <v>414</v>
      </c>
      <c r="B236" t="s">
        <v>424</v>
      </c>
      <c r="C236" t="s">
        <v>233</v>
      </c>
      <c r="D236" t="s">
        <v>618</v>
      </c>
    </row>
    <row r="237" spans="1:4" x14ac:dyDescent="0.2">
      <c r="A237" t="s">
        <v>414</v>
      </c>
      <c r="B237" t="s">
        <v>424</v>
      </c>
      <c r="C237" t="s">
        <v>233</v>
      </c>
      <c r="D237" t="s">
        <v>619</v>
      </c>
    </row>
    <row r="238" spans="1:4" x14ac:dyDescent="0.2">
      <c r="A238" t="s">
        <v>414</v>
      </c>
      <c r="B238" t="s">
        <v>424</v>
      </c>
      <c r="C238" t="s">
        <v>233</v>
      </c>
      <c r="D238" t="s">
        <v>620</v>
      </c>
    </row>
    <row r="239" spans="1:4" x14ac:dyDescent="0.2">
      <c r="A239" t="s">
        <v>414</v>
      </c>
      <c r="B239" t="s">
        <v>424</v>
      </c>
      <c r="C239" t="s">
        <v>233</v>
      </c>
      <c r="D239" t="s">
        <v>621</v>
      </c>
    </row>
    <row r="240" spans="1:4" x14ac:dyDescent="0.2">
      <c r="A240" t="s">
        <v>414</v>
      </c>
      <c r="B240" t="s">
        <v>424</v>
      </c>
      <c r="C240" t="s">
        <v>233</v>
      </c>
      <c r="D240" t="s">
        <v>622</v>
      </c>
    </row>
    <row r="241" spans="1:4" x14ac:dyDescent="0.2">
      <c r="A241" t="s">
        <v>414</v>
      </c>
      <c r="B241" t="s">
        <v>424</v>
      </c>
      <c r="C241" t="s">
        <v>233</v>
      </c>
      <c r="D241" t="s">
        <v>623</v>
      </c>
    </row>
    <row r="242" spans="1:4" x14ac:dyDescent="0.2">
      <c r="A242" t="s">
        <v>414</v>
      </c>
      <c r="B242" t="s">
        <v>424</v>
      </c>
      <c r="C242" t="s">
        <v>233</v>
      </c>
      <c r="D242" t="s">
        <v>624</v>
      </c>
    </row>
    <row r="243" spans="1:4" x14ac:dyDescent="0.2">
      <c r="A243" t="s">
        <v>414</v>
      </c>
      <c r="B243" t="s">
        <v>424</v>
      </c>
      <c r="C243" t="s">
        <v>233</v>
      </c>
      <c r="D243" t="s">
        <v>625</v>
      </c>
    </row>
    <row r="244" spans="1:4" x14ac:dyDescent="0.2">
      <c r="A244" t="s">
        <v>414</v>
      </c>
      <c r="B244" t="s">
        <v>424</v>
      </c>
      <c r="C244" t="s">
        <v>233</v>
      </c>
      <c r="D244" t="s">
        <v>626</v>
      </c>
    </row>
    <row r="245" spans="1:4" x14ac:dyDescent="0.2">
      <c r="A245" t="s">
        <v>414</v>
      </c>
      <c r="B245" t="s">
        <v>424</v>
      </c>
      <c r="C245" t="s">
        <v>233</v>
      </c>
      <c r="D245" t="s">
        <v>627</v>
      </c>
    </row>
    <row r="246" spans="1:4" x14ac:dyDescent="0.2">
      <c r="A246" t="s">
        <v>414</v>
      </c>
      <c r="B246" t="s">
        <v>424</v>
      </c>
      <c r="C246" t="s">
        <v>233</v>
      </c>
      <c r="D246" t="s">
        <v>628</v>
      </c>
    </row>
    <row r="247" spans="1:4" x14ac:dyDescent="0.2">
      <c r="A247" t="s">
        <v>414</v>
      </c>
      <c r="B247" t="s">
        <v>424</v>
      </c>
      <c r="C247" t="s">
        <v>233</v>
      </c>
      <c r="D247" t="s">
        <v>629</v>
      </c>
    </row>
    <row r="248" spans="1:4" x14ac:dyDescent="0.2">
      <c r="A248" t="s">
        <v>414</v>
      </c>
      <c r="B248" t="s">
        <v>424</v>
      </c>
      <c r="C248" t="s">
        <v>233</v>
      </c>
      <c r="D248" t="s">
        <v>630</v>
      </c>
    </row>
    <row r="249" spans="1:4" x14ac:dyDescent="0.2">
      <c r="A249" t="s">
        <v>414</v>
      </c>
      <c r="B249" t="s">
        <v>424</v>
      </c>
      <c r="C249" t="s">
        <v>233</v>
      </c>
      <c r="D249" t="s">
        <v>631</v>
      </c>
    </row>
    <row r="250" spans="1:4" x14ac:dyDescent="0.2">
      <c r="A250" t="s">
        <v>414</v>
      </c>
      <c r="B250" t="s">
        <v>424</v>
      </c>
      <c r="C250" t="s">
        <v>233</v>
      </c>
      <c r="D250" t="s">
        <v>632</v>
      </c>
    </row>
    <row r="251" spans="1:4" x14ac:dyDescent="0.2">
      <c r="A251" t="s">
        <v>414</v>
      </c>
      <c r="B251" t="s">
        <v>424</v>
      </c>
      <c r="C251" t="s">
        <v>233</v>
      </c>
      <c r="D251" t="s">
        <v>633</v>
      </c>
    </row>
    <row r="252" spans="1:4" x14ac:dyDescent="0.2">
      <c r="A252" t="s">
        <v>414</v>
      </c>
      <c r="B252" t="s">
        <v>424</v>
      </c>
      <c r="C252" t="s">
        <v>233</v>
      </c>
      <c r="D252" t="s">
        <v>634</v>
      </c>
    </row>
    <row r="253" spans="1:4" x14ac:dyDescent="0.2">
      <c r="A253" t="s">
        <v>414</v>
      </c>
      <c r="B253" t="s">
        <v>424</v>
      </c>
      <c r="C253" t="s">
        <v>233</v>
      </c>
      <c r="D253" t="s">
        <v>635</v>
      </c>
    </row>
    <row r="254" spans="1:4" x14ac:dyDescent="0.2">
      <c r="A254" t="s">
        <v>414</v>
      </c>
      <c r="B254" t="s">
        <v>424</v>
      </c>
      <c r="C254" t="s">
        <v>233</v>
      </c>
      <c r="D254" t="s">
        <v>636</v>
      </c>
    </row>
    <row r="255" spans="1:4" x14ac:dyDescent="0.2">
      <c r="A255" t="s">
        <v>414</v>
      </c>
      <c r="B255" t="s">
        <v>424</v>
      </c>
      <c r="C255" t="s">
        <v>233</v>
      </c>
      <c r="D255" t="s">
        <v>637</v>
      </c>
    </row>
    <row r="256" spans="1:4" x14ac:dyDescent="0.2">
      <c r="A256" t="s">
        <v>414</v>
      </c>
      <c r="B256" t="s">
        <v>424</v>
      </c>
      <c r="C256" t="s">
        <v>233</v>
      </c>
      <c r="D256" t="s">
        <v>638</v>
      </c>
    </row>
    <row r="257" spans="1:4" x14ac:dyDescent="0.2">
      <c r="A257" t="s">
        <v>414</v>
      </c>
      <c r="B257" t="s">
        <v>424</v>
      </c>
      <c r="C257" t="s">
        <v>233</v>
      </c>
      <c r="D257" t="s">
        <v>639</v>
      </c>
    </row>
    <row r="258" spans="1:4" x14ac:dyDescent="0.2">
      <c r="A258" t="s">
        <v>414</v>
      </c>
      <c r="B258" t="s">
        <v>424</v>
      </c>
      <c r="C258" t="s">
        <v>233</v>
      </c>
      <c r="D258" t="s">
        <v>640</v>
      </c>
    </row>
    <row r="259" spans="1:4" x14ac:dyDescent="0.2">
      <c r="A259" t="s">
        <v>414</v>
      </c>
      <c r="B259" t="s">
        <v>424</v>
      </c>
      <c r="C259" t="s">
        <v>233</v>
      </c>
      <c r="D259" t="s">
        <v>641</v>
      </c>
    </row>
    <row r="260" spans="1:4" x14ac:dyDescent="0.2">
      <c r="A260" t="s">
        <v>414</v>
      </c>
      <c r="B260" t="s">
        <v>424</v>
      </c>
      <c r="C260" t="s">
        <v>233</v>
      </c>
      <c r="D260" t="s">
        <v>642</v>
      </c>
    </row>
    <row r="261" spans="1:4" x14ac:dyDescent="0.2">
      <c r="A261" t="s">
        <v>414</v>
      </c>
      <c r="B261" t="s">
        <v>424</v>
      </c>
      <c r="C261" t="s">
        <v>643</v>
      </c>
      <c r="D261" t="s">
        <v>644</v>
      </c>
    </row>
    <row r="262" spans="1:4" x14ac:dyDescent="0.2">
      <c r="A262" t="s">
        <v>414</v>
      </c>
      <c r="B262" t="s">
        <v>424</v>
      </c>
      <c r="C262" t="s">
        <v>643</v>
      </c>
      <c r="D262" t="s">
        <v>645</v>
      </c>
    </row>
    <row r="263" spans="1:4" x14ac:dyDescent="0.2">
      <c r="A263" t="s">
        <v>414</v>
      </c>
      <c r="B263" t="s">
        <v>424</v>
      </c>
      <c r="C263" t="s">
        <v>643</v>
      </c>
      <c r="D263" t="s">
        <v>646</v>
      </c>
    </row>
    <row r="264" spans="1:4" x14ac:dyDescent="0.2">
      <c r="A264" t="s">
        <v>414</v>
      </c>
      <c r="B264" t="s">
        <v>424</v>
      </c>
      <c r="C264" t="s">
        <v>643</v>
      </c>
      <c r="D264" t="s">
        <v>647</v>
      </c>
    </row>
    <row r="265" spans="1:4" x14ac:dyDescent="0.2">
      <c r="A265" t="s">
        <v>414</v>
      </c>
      <c r="B265" t="s">
        <v>424</v>
      </c>
      <c r="C265" t="s">
        <v>643</v>
      </c>
      <c r="D265" t="s">
        <v>648</v>
      </c>
    </row>
    <row r="266" spans="1:4" x14ac:dyDescent="0.2">
      <c r="A266" t="s">
        <v>414</v>
      </c>
      <c r="B266" t="s">
        <v>424</v>
      </c>
      <c r="C266" t="s">
        <v>643</v>
      </c>
      <c r="D266" t="s">
        <v>649</v>
      </c>
    </row>
    <row r="267" spans="1:4" x14ac:dyDescent="0.2">
      <c r="A267" t="s">
        <v>414</v>
      </c>
      <c r="B267" t="s">
        <v>424</v>
      </c>
      <c r="C267" t="s">
        <v>643</v>
      </c>
      <c r="D267" t="s">
        <v>650</v>
      </c>
    </row>
    <row r="268" spans="1:4" x14ac:dyDescent="0.2">
      <c r="A268" t="s">
        <v>414</v>
      </c>
      <c r="B268" t="s">
        <v>424</v>
      </c>
      <c r="C268" t="s">
        <v>643</v>
      </c>
      <c r="D268" t="s">
        <v>651</v>
      </c>
    </row>
    <row r="269" spans="1:4" x14ac:dyDescent="0.2">
      <c r="A269" t="s">
        <v>414</v>
      </c>
      <c r="B269" t="s">
        <v>424</v>
      </c>
      <c r="C269" t="s">
        <v>643</v>
      </c>
      <c r="D269" t="s">
        <v>652</v>
      </c>
    </row>
    <row r="270" spans="1:4" x14ac:dyDescent="0.2">
      <c r="A270" t="s">
        <v>414</v>
      </c>
      <c r="B270" t="s">
        <v>424</v>
      </c>
      <c r="C270" t="s">
        <v>643</v>
      </c>
      <c r="D270" t="s">
        <v>653</v>
      </c>
    </row>
    <row r="271" spans="1:4" x14ac:dyDescent="0.2">
      <c r="A271" t="s">
        <v>414</v>
      </c>
      <c r="B271" t="s">
        <v>424</v>
      </c>
      <c r="C271" t="s">
        <v>643</v>
      </c>
      <c r="D271" t="s">
        <v>654</v>
      </c>
    </row>
    <row r="272" spans="1:4" x14ac:dyDescent="0.2">
      <c r="A272" t="s">
        <v>414</v>
      </c>
      <c r="B272" t="s">
        <v>424</v>
      </c>
      <c r="C272" t="s">
        <v>643</v>
      </c>
      <c r="D272" t="s">
        <v>655</v>
      </c>
    </row>
    <row r="273" spans="1:4" x14ac:dyDescent="0.2">
      <c r="A273" t="s">
        <v>414</v>
      </c>
      <c r="B273" t="s">
        <v>424</v>
      </c>
      <c r="C273" t="s">
        <v>643</v>
      </c>
      <c r="D273" t="s">
        <v>656</v>
      </c>
    </row>
    <row r="274" spans="1:4" x14ac:dyDescent="0.2">
      <c r="A274" t="s">
        <v>414</v>
      </c>
      <c r="B274" t="s">
        <v>424</v>
      </c>
      <c r="C274" t="s">
        <v>402</v>
      </c>
      <c r="D274" t="s">
        <v>657</v>
      </c>
    </row>
    <row r="275" spans="1:4" x14ac:dyDescent="0.2">
      <c r="A275" t="s">
        <v>414</v>
      </c>
      <c r="B275" t="s">
        <v>424</v>
      </c>
      <c r="C275" t="s">
        <v>402</v>
      </c>
      <c r="D275" t="s">
        <v>658</v>
      </c>
    </row>
    <row r="276" spans="1:4" x14ac:dyDescent="0.2">
      <c r="A276" t="s">
        <v>414</v>
      </c>
      <c r="B276" t="s">
        <v>424</v>
      </c>
      <c r="C276" t="s">
        <v>402</v>
      </c>
      <c r="D276" t="s">
        <v>659</v>
      </c>
    </row>
    <row r="277" spans="1:4" x14ac:dyDescent="0.2">
      <c r="A277" t="s">
        <v>414</v>
      </c>
      <c r="B277" t="s">
        <v>424</v>
      </c>
      <c r="C277" t="s">
        <v>402</v>
      </c>
      <c r="D277" t="s">
        <v>660</v>
      </c>
    </row>
    <row r="278" spans="1:4" x14ac:dyDescent="0.2">
      <c r="A278" t="s">
        <v>414</v>
      </c>
      <c r="B278" t="s">
        <v>424</v>
      </c>
      <c r="C278" t="s">
        <v>402</v>
      </c>
      <c r="D278" t="s">
        <v>661</v>
      </c>
    </row>
    <row r="279" spans="1:4" x14ac:dyDescent="0.2">
      <c r="A279" t="s">
        <v>414</v>
      </c>
      <c r="B279" t="s">
        <v>424</v>
      </c>
      <c r="C279" t="s">
        <v>402</v>
      </c>
      <c r="D279" t="s">
        <v>662</v>
      </c>
    </row>
    <row r="280" spans="1:4" x14ac:dyDescent="0.2">
      <c r="A280" t="s">
        <v>414</v>
      </c>
      <c r="B280" t="s">
        <v>424</v>
      </c>
      <c r="C280" t="s">
        <v>402</v>
      </c>
      <c r="D280" t="s">
        <v>663</v>
      </c>
    </row>
    <row r="281" spans="1:4" x14ac:dyDescent="0.2">
      <c r="A281" t="s">
        <v>414</v>
      </c>
      <c r="B281" t="s">
        <v>424</v>
      </c>
      <c r="C281" t="s">
        <v>402</v>
      </c>
      <c r="D281" t="s">
        <v>664</v>
      </c>
    </row>
    <row r="282" spans="1:4" x14ac:dyDescent="0.2">
      <c r="A282" t="s">
        <v>414</v>
      </c>
      <c r="B282" t="s">
        <v>424</v>
      </c>
      <c r="C282" t="s">
        <v>402</v>
      </c>
      <c r="D282" t="s">
        <v>665</v>
      </c>
    </row>
    <row r="283" spans="1:4" x14ac:dyDescent="0.2">
      <c r="A283" t="s">
        <v>414</v>
      </c>
      <c r="B283" t="s">
        <v>424</v>
      </c>
      <c r="C283" t="s">
        <v>402</v>
      </c>
      <c r="D283" t="s">
        <v>666</v>
      </c>
    </row>
    <row r="284" spans="1:4" x14ac:dyDescent="0.2">
      <c r="A284" t="s">
        <v>414</v>
      </c>
      <c r="B284" t="s">
        <v>424</v>
      </c>
      <c r="C284" t="s">
        <v>402</v>
      </c>
      <c r="D284" t="s">
        <v>667</v>
      </c>
    </row>
    <row r="285" spans="1:4" x14ac:dyDescent="0.2">
      <c r="A285" t="s">
        <v>414</v>
      </c>
      <c r="B285" t="s">
        <v>424</v>
      </c>
      <c r="C285" t="s">
        <v>402</v>
      </c>
      <c r="D285" t="s">
        <v>668</v>
      </c>
    </row>
    <row r="286" spans="1:4" x14ac:dyDescent="0.2">
      <c r="A286" t="s">
        <v>414</v>
      </c>
      <c r="B286" t="s">
        <v>424</v>
      </c>
      <c r="C286" t="s">
        <v>402</v>
      </c>
      <c r="D286" t="s">
        <v>669</v>
      </c>
    </row>
    <row r="287" spans="1:4" x14ac:dyDescent="0.2">
      <c r="A287" t="s">
        <v>414</v>
      </c>
      <c r="B287" t="s">
        <v>424</v>
      </c>
      <c r="C287" t="s">
        <v>402</v>
      </c>
      <c r="D287" t="s">
        <v>670</v>
      </c>
    </row>
    <row r="288" spans="1:4" x14ac:dyDescent="0.2">
      <c r="A288" t="s">
        <v>414</v>
      </c>
      <c r="B288" t="s">
        <v>424</v>
      </c>
      <c r="C288" t="s">
        <v>402</v>
      </c>
      <c r="D288" t="s">
        <v>671</v>
      </c>
    </row>
    <row r="289" spans="1:4" x14ac:dyDescent="0.2">
      <c r="A289" t="s">
        <v>414</v>
      </c>
      <c r="B289" t="s">
        <v>424</v>
      </c>
      <c r="C289" t="s">
        <v>402</v>
      </c>
      <c r="D289" t="s">
        <v>672</v>
      </c>
    </row>
    <row r="290" spans="1:4" x14ac:dyDescent="0.2">
      <c r="A290" t="s">
        <v>414</v>
      </c>
      <c r="B290" t="s">
        <v>424</v>
      </c>
      <c r="C290" t="s">
        <v>402</v>
      </c>
      <c r="D290" t="s">
        <v>673</v>
      </c>
    </row>
    <row r="291" spans="1:4" x14ac:dyDescent="0.2">
      <c r="A291" t="s">
        <v>414</v>
      </c>
      <c r="B291" t="s">
        <v>424</v>
      </c>
      <c r="C291" t="s">
        <v>402</v>
      </c>
      <c r="D291" t="s">
        <v>674</v>
      </c>
    </row>
    <row r="292" spans="1:4" x14ac:dyDescent="0.2">
      <c r="A292" t="s">
        <v>414</v>
      </c>
      <c r="B292" t="s">
        <v>424</v>
      </c>
      <c r="C292" t="s">
        <v>402</v>
      </c>
      <c r="D292" t="s">
        <v>675</v>
      </c>
    </row>
    <row r="293" spans="1:4" x14ac:dyDescent="0.2">
      <c r="A293" t="s">
        <v>414</v>
      </c>
      <c r="B293" t="s">
        <v>424</v>
      </c>
      <c r="C293" t="s">
        <v>402</v>
      </c>
      <c r="D293" t="s">
        <v>676</v>
      </c>
    </row>
    <row r="294" spans="1:4" x14ac:dyDescent="0.2">
      <c r="A294" t="s">
        <v>414</v>
      </c>
      <c r="B294" t="s">
        <v>424</v>
      </c>
      <c r="C294" t="s">
        <v>402</v>
      </c>
      <c r="D294" t="s">
        <v>677</v>
      </c>
    </row>
    <row r="295" spans="1:4" x14ac:dyDescent="0.2">
      <c r="A295" t="s">
        <v>414</v>
      </c>
      <c r="B295" t="s">
        <v>424</v>
      </c>
      <c r="C295" t="s">
        <v>402</v>
      </c>
      <c r="D295" t="s">
        <v>678</v>
      </c>
    </row>
    <row r="296" spans="1:4" x14ac:dyDescent="0.2">
      <c r="A296" t="s">
        <v>414</v>
      </c>
      <c r="B296" t="s">
        <v>424</v>
      </c>
      <c r="C296" t="s">
        <v>402</v>
      </c>
      <c r="D296" t="s">
        <v>679</v>
      </c>
    </row>
    <row r="297" spans="1:4" x14ac:dyDescent="0.2">
      <c r="A297" t="s">
        <v>414</v>
      </c>
      <c r="B297" t="s">
        <v>424</v>
      </c>
      <c r="C297" t="s">
        <v>402</v>
      </c>
      <c r="D297" t="s">
        <v>680</v>
      </c>
    </row>
    <row r="298" spans="1:4" x14ac:dyDescent="0.2">
      <c r="A298" t="s">
        <v>414</v>
      </c>
      <c r="B298" t="s">
        <v>424</v>
      </c>
      <c r="C298" t="s">
        <v>402</v>
      </c>
      <c r="D298" t="s">
        <v>681</v>
      </c>
    </row>
    <row r="299" spans="1:4" x14ac:dyDescent="0.2">
      <c r="A299" t="s">
        <v>414</v>
      </c>
      <c r="B299" t="s">
        <v>424</v>
      </c>
      <c r="C299" t="s">
        <v>402</v>
      </c>
      <c r="D299" t="s">
        <v>681</v>
      </c>
    </row>
    <row r="300" spans="1:4" x14ac:dyDescent="0.2">
      <c r="A300" t="s">
        <v>414</v>
      </c>
      <c r="B300" t="s">
        <v>424</v>
      </c>
      <c r="C300" t="s">
        <v>402</v>
      </c>
      <c r="D300" t="s">
        <v>682</v>
      </c>
    </row>
    <row r="301" spans="1:4" x14ac:dyDescent="0.2">
      <c r="A301" t="s">
        <v>414</v>
      </c>
      <c r="B301" t="s">
        <v>424</v>
      </c>
      <c r="C301" t="s">
        <v>402</v>
      </c>
      <c r="D301" t="s">
        <v>683</v>
      </c>
    </row>
    <row r="302" spans="1:4" x14ac:dyDescent="0.2">
      <c r="A302" t="s">
        <v>414</v>
      </c>
      <c r="B302" t="s">
        <v>424</v>
      </c>
      <c r="C302" t="s">
        <v>402</v>
      </c>
      <c r="D302" t="s">
        <v>684</v>
      </c>
    </row>
    <row r="303" spans="1:4" x14ac:dyDescent="0.2">
      <c r="A303" t="s">
        <v>414</v>
      </c>
      <c r="B303" t="s">
        <v>424</v>
      </c>
      <c r="C303" t="s">
        <v>402</v>
      </c>
      <c r="D303" t="s">
        <v>685</v>
      </c>
    </row>
    <row r="304" spans="1:4" x14ac:dyDescent="0.2">
      <c r="A304" t="s">
        <v>414</v>
      </c>
      <c r="B304" t="s">
        <v>424</v>
      </c>
      <c r="C304" t="s">
        <v>402</v>
      </c>
      <c r="D304" t="s">
        <v>686</v>
      </c>
    </row>
    <row r="305" spans="1:4" x14ac:dyDescent="0.2">
      <c r="A305" t="s">
        <v>414</v>
      </c>
      <c r="B305" t="s">
        <v>424</v>
      </c>
      <c r="C305" t="s">
        <v>402</v>
      </c>
      <c r="D305" t="s">
        <v>687</v>
      </c>
    </row>
    <row r="306" spans="1:4" x14ac:dyDescent="0.2">
      <c r="A306" t="s">
        <v>414</v>
      </c>
      <c r="B306" t="s">
        <v>424</v>
      </c>
      <c r="C306" t="s">
        <v>402</v>
      </c>
      <c r="D306" t="s">
        <v>688</v>
      </c>
    </row>
    <row r="307" spans="1:4" x14ac:dyDescent="0.2">
      <c r="A307" t="s">
        <v>414</v>
      </c>
      <c r="B307" t="s">
        <v>424</v>
      </c>
      <c r="C307" t="s">
        <v>402</v>
      </c>
      <c r="D307" t="s">
        <v>689</v>
      </c>
    </row>
    <row r="308" spans="1:4" x14ac:dyDescent="0.2">
      <c r="A308" t="s">
        <v>414</v>
      </c>
      <c r="B308" t="s">
        <v>424</v>
      </c>
      <c r="C308" t="s">
        <v>690</v>
      </c>
      <c r="D308" t="s">
        <v>691</v>
      </c>
    </row>
    <row r="309" spans="1:4" x14ac:dyDescent="0.2">
      <c r="A309" t="s">
        <v>414</v>
      </c>
      <c r="B309" t="s">
        <v>424</v>
      </c>
      <c r="C309" t="s">
        <v>690</v>
      </c>
      <c r="D309" t="s">
        <v>692</v>
      </c>
    </row>
    <row r="310" spans="1:4" x14ac:dyDescent="0.2">
      <c r="A310" t="s">
        <v>414</v>
      </c>
      <c r="B310" t="s">
        <v>424</v>
      </c>
      <c r="C310" t="s">
        <v>690</v>
      </c>
      <c r="D310" t="s">
        <v>693</v>
      </c>
    </row>
    <row r="311" spans="1:4" x14ac:dyDescent="0.2">
      <c r="A311" t="s">
        <v>414</v>
      </c>
      <c r="B311" t="s">
        <v>424</v>
      </c>
      <c r="C311" t="s">
        <v>690</v>
      </c>
      <c r="D311" t="s">
        <v>694</v>
      </c>
    </row>
    <row r="312" spans="1:4" x14ac:dyDescent="0.2">
      <c r="A312" t="s">
        <v>414</v>
      </c>
      <c r="B312" t="s">
        <v>424</v>
      </c>
      <c r="C312" t="s">
        <v>690</v>
      </c>
      <c r="D312" t="s">
        <v>695</v>
      </c>
    </row>
    <row r="313" spans="1:4" x14ac:dyDescent="0.2">
      <c r="A313" t="s">
        <v>414</v>
      </c>
      <c r="B313" t="s">
        <v>424</v>
      </c>
      <c r="C313" t="s">
        <v>690</v>
      </c>
      <c r="D313" t="s">
        <v>696</v>
      </c>
    </row>
    <row r="314" spans="1:4" x14ac:dyDescent="0.2">
      <c r="A314" t="s">
        <v>414</v>
      </c>
      <c r="B314" t="s">
        <v>424</v>
      </c>
      <c r="C314" t="s">
        <v>690</v>
      </c>
      <c r="D314" t="s">
        <v>697</v>
      </c>
    </row>
    <row r="315" spans="1:4" x14ac:dyDescent="0.2">
      <c r="A315" t="s">
        <v>414</v>
      </c>
      <c r="B315" t="s">
        <v>424</v>
      </c>
      <c r="C315" t="s">
        <v>690</v>
      </c>
      <c r="D315" t="s">
        <v>698</v>
      </c>
    </row>
    <row r="316" spans="1:4" x14ac:dyDescent="0.2">
      <c r="A316" t="s">
        <v>414</v>
      </c>
      <c r="B316" t="s">
        <v>424</v>
      </c>
      <c r="C316" t="s">
        <v>690</v>
      </c>
      <c r="D316" t="s">
        <v>699</v>
      </c>
    </row>
    <row r="317" spans="1:4" x14ac:dyDescent="0.2">
      <c r="A317" t="s">
        <v>414</v>
      </c>
      <c r="B317" t="s">
        <v>424</v>
      </c>
      <c r="C317" t="s">
        <v>690</v>
      </c>
      <c r="D317" t="s">
        <v>700</v>
      </c>
    </row>
    <row r="318" spans="1:4" x14ac:dyDescent="0.2">
      <c r="A318" t="s">
        <v>414</v>
      </c>
      <c r="B318" t="s">
        <v>424</v>
      </c>
      <c r="C318" t="s">
        <v>690</v>
      </c>
      <c r="D318" t="s">
        <v>701</v>
      </c>
    </row>
    <row r="319" spans="1:4" x14ac:dyDescent="0.2">
      <c r="A319" t="s">
        <v>414</v>
      </c>
      <c r="B319" t="s">
        <v>424</v>
      </c>
      <c r="C319" t="s">
        <v>690</v>
      </c>
      <c r="D319" t="s">
        <v>702</v>
      </c>
    </row>
    <row r="320" spans="1:4" x14ac:dyDescent="0.2">
      <c r="A320" t="s">
        <v>414</v>
      </c>
      <c r="B320" t="s">
        <v>424</v>
      </c>
      <c r="C320" t="s">
        <v>703</v>
      </c>
      <c r="D320" t="s">
        <v>704</v>
      </c>
    </row>
    <row r="321" spans="1:4" x14ac:dyDescent="0.2">
      <c r="A321" t="s">
        <v>414</v>
      </c>
      <c r="B321" t="s">
        <v>424</v>
      </c>
      <c r="C321" t="s">
        <v>703</v>
      </c>
      <c r="D321" t="s">
        <v>705</v>
      </c>
    </row>
    <row r="322" spans="1:4" x14ac:dyDescent="0.2">
      <c r="A322" t="s">
        <v>414</v>
      </c>
      <c r="B322" t="s">
        <v>424</v>
      </c>
      <c r="C322" t="s">
        <v>703</v>
      </c>
      <c r="D322" t="s">
        <v>706</v>
      </c>
    </row>
    <row r="323" spans="1:4" x14ac:dyDescent="0.2">
      <c r="A323" t="s">
        <v>414</v>
      </c>
      <c r="B323" t="s">
        <v>424</v>
      </c>
      <c r="C323" t="s">
        <v>703</v>
      </c>
      <c r="D323" t="s">
        <v>707</v>
      </c>
    </row>
    <row r="324" spans="1:4" x14ac:dyDescent="0.2">
      <c r="A324" t="s">
        <v>414</v>
      </c>
      <c r="B324" t="s">
        <v>424</v>
      </c>
      <c r="C324" t="s">
        <v>703</v>
      </c>
      <c r="D324" t="s">
        <v>708</v>
      </c>
    </row>
    <row r="325" spans="1:4" x14ac:dyDescent="0.2">
      <c r="A325" t="s">
        <v>414</v>
      </c>
      <c r="B325" t="s">
        <v>424</v>
      </c>
      <c r="C325" t="s">
        <v>703</v>
      </c>
      <c r="D325" t="s">
        <v>709</v>
      </c>
    </row>
    <row r="326" spans="1:4" x14ac:dyDescent="0.2">
      <c r="A326" t="s">
        <v>414</v>
      </c>
      <c r="B326" t="s">
        <v>424</v>
      </c>
      <c r="C326" t="s">
        <v>703</v>
      </c>
      <c r="D326" t="s">
        <v>710</v>
      </c>
    </row>
    <row r="327" spans="1:4" x14ac:dyDescent="0.2">
      <c r="A327" t="s">
        <v>414</v>
      </c>
      <c r="B327" t="s">
        <v>424</v>
      </c>
      <c r="C327" t="s">
        <v>703</v>
      </c>
      <c r="D327" t="s">
        <v>711</v>
      </c>
    </row>
    <row r="328" spans="1:4" x14ac:dyDescent="0.2">
      <c r="A328" t="s">
        <v>414</v>
      </c>
      <c r="B328" t="s">
        <v>424</v>
      </c>
      <c r="C328" t="s">
        <v>703</v>
      </c>
      <c r="D328" t="s">
        <v>712</v>
      </c>
    </row>
    <row r="329" spans="1:4" x14ac:dyDescent="0.2">
      <c r="A329" t="s">
        <v>414</v>
      </c>
      <c r="B329" t="s">
        <v>424</v>
      </c>
      <c r="C329" t="s">
        <v>713</v>
      </c>
      <c r="D329" t="s">
        <v>714</v>
      </c>
    </row>
    <row r="330" spans="1:4" x14ac:dyDescent="0.2">
      <c r="A330" t="s">
        <v>414</v>
      </c>
      <c r="B330" t="s">
        <v>424</v>
      </c>
      <c r="C330" t="s">
        <v>713</v>
      </c>
      <c r="D330" t="s">
        <v>715</v>
      </c>
    </row>
    <row r="331" spans="1:4" x14ac:dyDescent="0.2">
      <c r="A331" t="s">
        <v>414</v>
      </c>
      <c r="B331" t="s">
        <v>424</v>
      </c>
      <c r="C331" t="s">
        <v>713</v>
      </c>
      <c r="D331" t="s">
        <v>715</v>
      </c>
    </row>
    <row r="332" spans="1:4" x14ac:dyDescent="0.2">
      <c r="A332" t="s">
        <v>414</v>
      </c>
      <c r="B332" t="s">
        <v>424</v>
      </c>
      <c r="C332" t="s">
        <v>713</v>
      </c>
      <c r="D332" t="s">
        <v>716</v>
      </c>
    </row>
    <row r="333" spans="1:4" x14ac:dyDescent="0.2">
      <c r="A333" t="s">
        <v>414</v>
      </c>
      <c r="B333" t="s">
        <v>424</v>
      </c>
      <c r="C333" t="s">
        <v>713</v>
      </c>
      <c r="D333" t="s">
        <v>716</v>
      </c>
    </row>
    <row r="334" spans="1:4" x14ac:dyDescent="0.2">
      <c r="A334" t="s">
        <v>414</v>
      </c>
      <c r="B334" t="s">
        <v>424</v>
      </c>
      <c r="C334" t="s">
        <v>713</v>
      </c>
      <c r="D334" t="s">
        <v>717</v>
      </c>
    </row>
    <row r="335" spans="1:4" x14ac:dyDescent="0.2">
      <c r="A335" t="s">
        <v>414</v>
      </c>
      <c r="B335" t="s">
        <v>424</v>
      </c>
      <c r="C335" t="s">
        <v>713</v>
      </c>
      <c r="D335" t="s">
        <v>718</v>
      </c>
    </row>
    <row r="336" spans="1:4" x14ac:dyDescent="0.2">
      <c r="A336" t="s">
        <v>414</v>
      </c>
      <c r="B336" t="s">
        <v>424</v>
      </c>
      <c r="C336" t="s">
        <v>713</v>
      </c>
      <c r="D336" t="s">
        <v>719</v>
      </c>
    </row>
    <row r="337" spans="1:4" x14ac:dyDescent="0.2">
      <c r="A337" t="s">
        <v>414</v>
      </c>
      <c r="B337" t="s">
        <v>424</v>
      </c>
      <c r="C337" t="s">
        <v>713</v>
      </c>
      <c r="D337" t="s">
        <v>720</v>
      </c>
    </row>
    <row r="338" spans="1:4" x14ac:dyDescent="0.2">
      <c r="A338" t="s">
        <v>414</v>
      </c>
      <c r="B338" t="s">
        <v>424</v>
      </c>
      <c r="C338" t="s">
        <v>713</v>
      </c>
      <c r="D338" t="s">
        <v>721</v>
      </c>
    </row>
    <row r="339" spans="1:4" x14ac:dyDescent="0.2">
      <c r="A339" t="s">
        <v>414</v>
      </c>
      <c r="B339" t="s">
        <v>424</v>
      </c>
      <c r="C339" t="s">
        <v>713</v>
      </c>
      <c r="D339" t="s">
        <v>722</v>
      </c>
    </row>
    <row r="340" spans="1:4" x14ac:dyDescent="0.2">
      <c r="A340" t="s">
        <v>414</v>
      </c>
      <c r="B340" t="s">
        <v>424</v>
      </c>
      <c r="C340" t="s">
        <v>713</v>
      </c>
      <c r="D340" t="s">
        <v>723</v>
      </c>
    </row>
    <row r="341" spans="1:4" x14ac:dyDescent="0.2">
      <c r="A341" t="s">
        <v>414</v>
      </c>
      <c r="B341" t="s">
        <v>424</v>
      </c>
      <c r="C341" t="s">
        <v>713</v>
      </c>
      <c r="D341" t="s">
        <v>724</v>
      </c>
    </row>
    <row r="342" spans="1:4" x14ac:dyDescent="0.2">
      <c r="A342" t="s">
        <v>414</v>
      </c>
      <c r="B342" t="s">
        <v>424</v>
      </c>
      <c r="C342" t="s">
        <v>713</v>
      </c>
      <c r="D342" t="s">
        <v>725</v>
      </c>
    </row>
    <row r="343" spans="1:4" x14ac:dyDescent="0.2">
      <c r="A343" t="s">
        <v>414</v>
      </c>
      <c r="B343" t="s">
        <v>424</v>
      </c>
      <c r="C343" t="s">
        <v>713</v>
      </c>
      <c r="D343" t="s">
        <v>726</v>
      </c>
    </row>
    <row r="344" spans="1:4" x14ac:dyDescent="0.2">
      <c r="A344" t="s">
        <v>414</v>
      </c>
      <c r="B344" t="s">
        <v>424</v>
      </c>
      <c r="C344" t="s">
        <v>713</v>
      </c>
      <c r="D344" t="s">
        <v>727</v>
      </c>
    </row>
    <row r="345" spans="1:4" x14ac:dyDescent="0.2">
      <c r="A345" t="s">
        <v>414</v>
      </c>
      <c r="B345" t="s">
        <v>424</v>
      </c>
      <c r="C345" t="s">
        <v>713</v>
      </c>
      <c r="D345" t="s">
        <v>728</v>
      </c>
    </row>
    <row r="346" spans="1:4" x14ac:dyDescent="0.2">
      <c r="A346" t="s">
        <v>414</v>
      </c>
      <c r="B346" t="s">
        <v>424</v>
      </c>
      <c r="C346" t="s">
        <v>713</v>
      </c>
      <c r="D346" t="s">
        <v>729</v>
      </c>
    </row>
    <row r="347" spans="1:4" x14ac:dyDescent="0.2">
      <c r="A347" t="s">
        <v>414</v>
      </c>
      <c r="B347" t="s">
        <v>424</v>
      </c>
      <c r="C347" t="s">
        <v>713</v>
      </c>
      <c r="D347" t="s">
        <v>730</v>
      </c>
    </row>
    <row r="348" spans="1:4" x14ac:dyDescent="0.2">
      <c r="A348" t="s">
        <v>414</v>
      </c>
      <c r="B348" t="s">
        <v>424</v>
      </c>
      <c r="C348" t="s">
        <v>713</v>
      </c>
      <c r="D348" t="s">
        <v>731</v>
      </c>
    </row>
    <row r="349" spans="1:4" x14ac:dyDescent="0.2">
      <c r="A349" t="s">
        <v>414</v>
      </c>
      <c r="B349" t="s">
        <v>424</v>
      </c>
      <c r="C349" t="s">
        <v>713</v>
      </c>
      <c r="D349" t="s">
        <v>732</v>
      </c>
    </row>
    <row r="350" spans="1:4" x14ac:dyDescent="0.2">
      <c r="A350" t="s">
        <v>414</v>
      </c>
      <c r="B350" t="s">
        <v>424</v>
      </c>
      <c r="C350" t="s">
        <v>713</v>
      </c>
      <c r="D350" t="s">
        <v>732</v>
      </c>
    </row>
    <row r="351" spans="1:4" x14ac:dyDescent="0.2">
      <c r="A351" t="s">
        <v>414</v>
      </c>
      <c r="B351" t="s">
        <v>424</v>
      </c>
      <c r="C351" t="s">
        <v>713</v>
      </c>
      <c r="D351" t="s">
        <v>733</v>
      </c>
    </row>
    <row r="352" spans="1:4" x14ac:dyDescent="0.2">
      <c r="A352" t="s">
        <v>414</v>
      </c>
      <c r="B352" t="s">
        <v>424</v>
      </c>
      <c r="C352" t="s">
        <v>713</v>
      </c>
      <c r="D352" t="s">
        <v>734</v>
      </c>
    </row>
    <row r="353" spans="1:4" x14ac:dyDescent="0.2">
      <c r="A353" t="s">
        <v>414</v>
      </c>
      <c r="B353" t="s">
        <v>424</v>
      </c>
      <c r="C353" t="s">
        <v>713</v>
      </c>
      <c r="D353" t="s">
        <v>735</v>
      </c>
    </row>
    <row r="354" spans="1:4" x14ac:dyDescent="0.2">
      <c r="A354" t="s">
        <v>414</v>
      </c>
      <c r="B354" t="s">
        <v>424</v>
      </c>
      <c r="C354" t="s">
        <v>713</v>
      </c>
      <c r="D354" t="s">
        <v>736</v>
      </c>
    </row>
    <row r="355" spans="1:4" x14ac:dyDescent="0.2">
      <c r="A355" t="s">
        <v>414</v>
      </c>
      <c r="B355" t="s">
        <v>424</v>
      </c>
      <c r="C355" t="s">
        <v>713</v>
      </c>
      <c r="D355" t="s">
        <v>737</v>
      </c>
    </row>
    <row r="356" spans="1:4" x14ac:dyDescent="0.2">
      <c r="A356" t="s">
        <v>414</v>
      </c>
      <c r="B356" t="s">
        <v>424</v>
      </c>
      <c r="C356" t="s">
        <v>713</v>
      </c>
      <c r="D356" t="s">
        <v>738</v>
      </c>
    </row>
    <row r="357" spans="1:4" x14ac:dyDescent="0.2">
      <c r="A357" t="s">
        <v>414</v>
      </c>
      <c r="B357" t="s">
        <v>424</v>
      </c>
      <c r="C357" t="s">
        <v>713</v>
      </c>
      <c r="D357" t="s">
        <v>739</v>
      </c>
    </row>
    <row r="358" spans="1:4" x14ac:dyDescent="0.2">
      <c r="A358" t="s">
        <v>414</v>
      </c>
      <c r="B358" t="s">
        <v>424</v>
      </c>
      <c r="C358" t="s">
        <v>713</v>
      </c>
      <c r="D358" t="s">
        <v>740</v>
      </c>
    </row>
    <row r="359" spans="1:4" x14ac:dyDescent="0.2">
      <c r="A359" t="s">
        <v>414</v>
      </c>
      <c r="B359" t="s">
        <v>424</v>
      </c>
      <c r="C359" t="s">
        <v>713</v>
      </c>
      <c r="D359" t="s">
        <v>741</v>
      </c>
    </row>
    <row r="360" spans="1:4" x14ac:dyDescent="0.2">
      <c r="A360" t="s">
        <v>414</v>
      </c>
      <c r="B360" t="s">
        <v>424</v>
      </c>
      <c r="C360" t="s">
        <v>406</v>
      </c>
      <c r="D360" t="s">
        <v>742</v>
      </c>
    </row>
    <row r="361" spans="1:4" x14ac:dyDescent="0.2">
      <c r="A361" t="s">
        <v>414</v>
      </c>
      <c r="B361" t="s">
        <v>424</v>
      </c>
      <c r="C361" t="s">
        <v>406</v>
      </c>
      <c r="D361" t="s">
        <v>743</v>
      </c>
    </row>
    <row r="362" spans="1:4" x14ac:dyDescent="0.2">
      <c r="A362" t="s">
        <v>414</v>
      </c>
      <c r="B362" t="s">
        <v>424</v>
      </c>
      <c r="C362" t="s">
        <v>406</v>
      </c>
      <c r="D362" t="s">
        <v>744</v>
      </c>
    </row>
    <row r="363" spans="1:4" x14ac:dyDescent="0.2">
      <c r="A363" t="s">
        <v>414</v>
      </c>
      <c r="B363" t="s">
        <v>424</v>
      </c>
      <c r="C363" t="s">
        <v>406</v>
      </c>
      <c r="D363" t="s">
        <v>745</v>
      </c>
    </row>
    <row r="364" spans="1:4" x14ac:dyDescent="0.2">
      <c r="A364" t="s">
        <v>414</v>
      </c>
      <c r="B364" t="s">
        <v>424</v>
      </c>
      <c r="C364" t="s">
        <v>406</v>
      </c>
      <c r="D364" t="s">
        <v>746</v>
      </c>
    </row>
    <row r="365" spans="1:4" x14ac:dyDescent="0.2">
      <c r="A365" t="s">
        <v>414</v>
      </c>
      <c r="B365" t="s">
        <v>424</v>
      </c>
      <c r="C365" t="s">
        <v>406</v>
      </c>
      <c r="D365" t="s">
        <v>747</v>
      </c>
    </row>
    <row r="366" spans="1:4" x14ac:dyDescent="0.2">
      <c r="A366" t="s">
        <v>414</v>
      </c>
      <c r="B366" t="s">
        <v>424</v>
      </c>
      <c r="C366" t="s">
        <v>406</v>
      </c>
      <c r="D366" t="s">
        <v>748</v>
      </c>
    </row>
    <row r="367" spans="1:4" x14ac:dyDescent="0.2">
      <c r="A367" t="s">
        <v>414</v>
      </c>
      <c r="B367" t="s">
        <v>424</v>
      </c>
      <c r="C367" t="s">
        <v>406</v>
      </c>
      <c r="D367" t="s">
        <v>749</v>
      </c>
    </row>
    <row r="368" spans="1:4" x14ac:dyDescent="0.2">
      <c r="A368" t="s">
        <v>414</v>
      </c>
      <c r="B368" t="s">
        <v>424</v>
      </c>
      <c r="C368" t="s">
        <v>406</v>
      </c>
      <c r="D368" t="s">
        <v>750</v>
      </c>
    </row>
    <row r="369" spans="1:4" x14ac:dyDescent="0.2">
      <c r="A369" t="s">
        <v>414</v>
      </c>
      <c r="B369" t="s">
        <v>424</v>
      </c>
      <c r="C369" t="s">
        <v>406</v>
      </c>
      <c r="D369" t="s">
        <v>751</v>
      </c>
    </row>
    <row r="370" spans="1:4" x14ac:dyDescent="0.2">
      <c r="A370" t="s">
        <v>414</v>
      </c>
      <c r="B370" t="s">
        <v>424</v>
      </c>
      <c r="C370" t="s">
        <v>406</v>
      </c>
      <c r="D370" t="s">
        <v>752</v>
      </c>
    </row>
    <row r="371" spans="1:4" x14ac:dyDescent="0.2">
      <c r="A371" t="s">
        <v>414</v>
      </c>
      <c r="B371" t="s">
        <v>424</v>
      </c>
      <c r="C371" t="s">
        <v>406</v>
      </c>
      <c r="D371" t="s">
        <v>753</v>
      </c>
    </row>
    <row r="372" spans="1:4" x14ac:dyDescent="0.2">
      <c r="A372" t="s">
        <v>414</v>
      </c>
      <c r="B372" t="s">
        <v>424</v>
      </c>
      <c r="C372" t="s">
        <v>406</v>
      </c>
      <c r="D372" t="s">
        <v>754</v>
      </c>
    </row>
    <row r="373" spans="1:4" x14ac:dyDescent="0.2">
      <c r="A373" t="s">
        <v>414</v>
      </c>
      <c r="B373" t="s">
        <v>424</v>
      </c>
      <c r="C373" t="s">
        <v>406</v>
      </c>
      <c r="D373" t="s">
        <v>755</v>
      </c>
    </row>
    <row r="374" spans="1:4" x14ac:dyDescent="0.2">
      <c r="A374" t="s">
        <v>414</v>
      </c>
      <c r="B374" t="s">
        <v>424</v>
      </c>
      <c r="C374" t="s">
        <v>406</v>
      </c>
      <c r="D374" t="s">
        <v>756</v>
      </c>
    </row>
    <row r="375" spans="1:4" x14ac:dyDescent="0.2">
      <c r="A375" t="s">
        <v>414</v>
      </c>
      <c r="B375" t="s">
        <v>424</v>
      </c>
      <c r="C375" t="s">
        <v>406</v>
      </c>
      <c r="D375" t="s">
        <v>757</v>
      </c>
    </row>
    <row r="376" spans="1:4" x14ac:dyDescent="0.2">
      <c r="A376" t="s">
        <v>414</v>
      </c>
      <c r="B376" t="s">
        <v>424</v>
      </c>
      <c r="C376" t="s">
        <v>406</v>
      </c>
      <c r="D376" t="s">
        <v>758</v>
      </c>
    </row>
    <row r="377" spans="1:4" x14ac:dyDescent="0.2">
      <c r="A377" t="s">
        <v>414</v>
      </c>
      <c r="B377" t="s">
        <v>424</v>
      </c>
      <c r="C377" t="s">
        <v>406</v>
      </c>
      <c r="D377" t="s">
        <v>759</v>
      </c>
    </row>
    <row r="378" spans="1:4" x14ac:dyDescent="0.2">
      <c r="A378" t="s">
        <v>414</v>
      </c>
      <c r="B378" t="s">
        <v>424</v>
      </c>
      <c r="C378" t="s">
        <v>406</v>
      </c>
      <c r="D378" t="s">
        <v>760</v>
      </c>
    </row>
    <row r="379" spans="1:4" x14ac:dyDescent="0.2">
      <c r="A379" t="s">
        <v>414</v>
      </c>
      <c r="B379" t="s">
        <v>424</v>
      </c>
      <c r="C379" t="s">
        <v>406</v>
      </c>
      <c r="D379" t="s">
        <v>761</v>
      </c>
    </row>
    <row r="380" spans="1:4" x14ac:dyDescent="0.2">
      <c r="A380" t="s">
        <v>414</v>
      </c>
      <c r="B380" t="s">
        <v>424</v>
      </c>
      <c r="C380" t="s">
        <v>406</v>
      </c>
      <c r="D380" t="s">
        <v>762</v>
      </c>
    </row>
    <row r="381" spans="1:4" x14ac:dyDescent="0.2">
      <c r="A381" t="s">
        <v>414</v>
      </c>
      <c r="B381" t="s">
        <v>424</v>
      </c>
      <c r="C381" t="s">
        <v>406</v>
      </c>
      <c r="D381" t="s">
        <v>763</v>
      </c>
    </row>
    <row r="382" spans="1:4" x14ac:dyDescent="0.2">
      <c r="A382" t="s">
        <v>414</v>
      </c>
      <c r="B382" t="s">
        <v>424</v>
      </c>
      <c r="C382" t="s">
        <v>406</v>
      </c>
      <c r="D382" t="s">
        <v>764</v>
      </c>
    </row>
    <row r="383" spans="1:4" x14ac:dyDescent="0.2">
      <c r="A383" t="s">
        <v>414</v>
      </c>
      <c r="B383" t="s">
        <v>424</v>
      </c>
      <c r="C383" t="s">
        <v>406</v>
      </c>
      <c r="D383" t="s">
        <v>765</v>
      </c>
    </row>
    <row r="384" spans="1:4" x14ac:dyDescent="0.2">
      <c r="A384" t="s">
        <v>414</v>
      </c>
      <c r="B384" t="s">
        <v>424</v>
      </c>
      <c r="C384" t="s">
        <v>406</v>
      </c>
      <c r="D384" t="s">
        <v>765</v>
      </c>
    </row>
    <row r="385" spans="1:4" x14ac:dyDescent="0.2">
      <c r="A385" t="s">
        <v>414</v>
      </c>
      <c r="B385" t="s">
        <v>424</v>
      </c>
      <c r="C385" t="s">
        <v>406</v>
      </c>
      <c r="D385" t="s">
        <v>766</v>
      </c>
    </row>
    <row r="386" spans="1:4" x14ac:dyDescent="0.2">
      <c r="A386" t="s">
        <v>414</v>
      </c>
      <c r="B386" t="s">
        <v>424</v>
      </c>
      <c r="C386" t="s">
        <v>406</v>
      </c>
      <c r="D386" t="s">
        <v>767</v>
      </c>
    </row>
    <row r="387" spans="1:4" x14ac:dyDescent="0.2">
      <c r="A387" t="s">
        <v>414</v>
      </c>
      <c r="B387" t="s">
        <v>424</v>
      </c>
      <c r="C387" t="s">
        <v>406</v>
      </c>
      <c r="D387" t="s">
        <v>768</v>
      </c>
    </row>
    <row r="388" spans="1:4" x14ac:dyDescent="0.2">
      <c r="A388" t="s">
        <v>414</v>
      </c>
      <c r="B388" t="s">
        <v>424</v>
      </c>
      <c r="C388" t="s">
        <v>406</v>
      </c>
      <c r="D388" t="s">
        <v>769</v>
      </c>
    </row>
    <row r="389" spans="1:4" x14ac:dyDescent="0.2">
      <c r="A389" t="s">
        <v>414</v>
      </c>
      <c r="B389" t="s">
        <v>424</v>
      </c>
      <c r="C389" t="s">
        <v>407</v>
      </c>
      <c r="D389" t="s">
        <v>770</v>
      </c>
    </row>
    <row r="390" spans="1:4" x14ac:dyDescent="0.2">
      <c r="A390" t="s">
        <v>414</v>
      </c>
      <c r="B390" t="s">
        <v>424</v>
      </c>
      <c r="C390" t="s">
        <v>407</v>
      </c>
      <c r="D390" t="s">
        <v>771</v>
      </c>
    </row>
    <row r="391" spans="1:4" x14ac:dyDescent="0.2">
      <c r="A391" t="s">
        <v>414</v>
      </c>
      <c r="B391" t="s">
        <v>424</v>
      </c>
      <c r="C391" t="s">
        <v>407</v>
      </c>
      <c r="D391" t="s">
        <v>772</v>
      </c>
    </row>
    <row r="392" spans="1:4" x14ac:dyDescent="0.2">
      <c r="A392" t="s">
        <v>414</v>
      </c>
      <c r="B392" t="s">
        <v>424</v>
      </c>
      <c r="C392" t="s">
        <v>407</v>
      </c>
      <c r="D392" t="s">
        <v>773</v>
      </c>
    </row>
    <row r="393" spans="1:4" x14ac:dyDescent="0.2">
      <c r="A393" t="s">
        <v>414</v>
      </c>
      <c r="B393" t="s">
        <v>424</v>
      </c>
      <c r="C393" t="s">
        <v>407</v>
      </c>
      <c r="D393" t="s">
        <v>774</v>
      </c>
    </row>
    <row r="394" spans="1:4" x14ac:dyDescent="0.2">
      <c r="A394" t="s">
        <v>414</v>
      </c>
      <c r="B394" t="s">
        <v>424</v>
      </c>
      <c r="C394" t="s">
        <v>407</v>
      </c>
      <c r="D394" t="s">
        <v>775</v>
      </c>
    </row>
    <row r="395" spans="1:4" x14ac:dyDescent="0.2">
      <c r="A395" t="s">
        <v>414</v>
      </c>
      <c r="B395" t="s">
        <v>424</v>
      </c>
      <c r="C395" t="s">
        <v>407</v>
      </c>
      <c r="D395" t="s">
        <v>776</v>
      </c>
    </row>
    <row r="396" spans="1:4" x14ac:dyDescent="0.2">
      <c r="A396" t="s">
        <v>414</v>
      </c>
      <c r="B396" t="s">
        <v>424</v>
      </c>
      <c r="C396" t="s">
        <v>407</v>
      </c>
      <c r="D396" t="s">
        <v>777</v>
      </c>
    </row>
    <row r="397" spans="1:4" x14ac:dyDescent="0.2">
      <c r="A397" t="s">
        <v>414</v>
      </c>
      <c r="B397" t="s">
        <v>424</v>
      </c>
      <c r="C397" t="s">
        <v>407</v>
      </c>
      <c r="D397" t="s">
        <v>778</v>
      </c>
    </row>
    <row r="398" spans="1:4" x14ac:dyDescent="0.2">
      <c r="A398" t="s">
        <v>414</v>
      </c>
      <c r="B398" t="s">
        <v>424</v>
      </c>
      <c r="C398" t="s">
        <v>407</v>
      </c>
      <c r="D398" t="s">
        <v>779</v>
      </c>
    </row>
    <row r="399" spans="1:4" x14ac:dyDescent="0.2">
      <c r="A399" t="s">
        <v>414</v>
      </c>
      <c r="B399" t="s">
        <v>424</v>
      </c>
      <c r="C399" t="s">
        <v>407</v>
      </c>
      <c r="D399" t="s">
        <v>780</v>
      </c>
    </row>
    <row r="400" spans="1:4" x14ac:dyDescent="0.2">
      <c r="A400" t="s">
        <v>414</v>
      </c>
      <c r="B400" t="s">
        <v>424</v>
      </c>
      <c r="C400" t="s">
        <v>407</v>
      </c>
      <c r="D400" t="s">
        <v>781</v>
      </c>
    </row>
    <row r="401" spans="1:4" x14ac:dyDescent="0.2">
      <c r="A401" t="s">
        <v>414</v>
      </c>
      <c r="B401" t="s">
        <v>424</v>
      </c>
      <c r="C401" t="s">
        <v>407</v>
      </c>
      <c r="D401" t="s">
        <v>782</v>
      </c>
    </row>
    <row r="402" spans="1:4" x14ac:dyDescent="0.2">
      <c r="A402" t="s">
        <v>414</v>
      </c>
      <c r="B402" t="s">
        <v>424</v>
      </c>
      <c r="C402" t="s">
        <v>407</v>
      </c>
      <c r="D402" t="s">
        <v>783</v>
      </c>
    </row>
    <row r="403" spans="1:4" x14ac:dyDescent="0.2">
      <c r="A403" t="s">
        <v>414</v>
      </c>
      <c r="B403" t="s">
        <v>424</v>
      </c>
      <c r="C403" t="s">
        <v>407</v>
      </c>
      <c r="D403" t="s">
        <v>784</v>
      </c>
    </row>
    <row r="404" spans="1:4" x14ac:dyDescent="0.2">
      <c r="A404" t="s">
        <v>414</v>
      </c>
      <c r="B404" t="s">
        <v>424</v>
      </c>
      <c r="C404" t="s">
        <v>407</v>
      </c>
      <c r="D404" t="s">
        <v>785</v>
      </c>
    </row>
    <row r="405" spans="1:4" x14ac:dyDescent="0.2">
      <c r="A405" t="s">
        <v>414</v>
      </c>
      <c r="B405" t="s">
        <v>424</v>
      </c>
      <c r="C405" t="s">
        <v>407</v>
      </c>
      <c r="D405" t="s">
        <v>786</v>
      </c>
    </row>
    <row r="406" spans="1:4" x14ac:dyDescent="0.2">
      <c r="A406" t="s">
        <v>414</v>
      </c>
      <c r="B406" t="s">
        <v>424</v>
      </c>
      <c r="C406" t="s">
        <v>407</v>
      </c>
      <c r="D406" t="s">
        <v>787</v>
      </c>
    </row>
    <row r="407" spans="1:4" x14ac:dyDescent="0.2">
      <c r="A407" t="s">
        <v>414</v>
      </c>
      <c r="B407" t="s">
        <v>424</v>
      </c>
      <c r="C407" t="s">
        <v>407</v>
      </c>
      <c r="D407" t="s">
        <v>788</v>
      </c>
    </row>
    <row r="408" spans="1:4" x14ac:dyDescent="0.2">
      <c r="A408" t="s">
        <v>414</v>
      </c>
      <c r="B408" t="s">
        <v>424</v>
      </c>
      <c r="C408" t="s">
        <v>407</v>
      </c>
      <c r="D408" t="s">
        <v>789</v>
      </c>
    </row>
    <row r="409" spans="1:4" x14ac:dyDescent="0.2">
      <c r="A409" t="s">
        <v>414</v>
      </c>
      <c r="B409" t="s">
        <v>424</v>
      </c>
      <c r="C409" t="s">
        <v>407</v>
      </c>
      <c r="D409" t="s">
        <v>790</v>
      </c>
    </row>
    <row r="410" spans="1:4" x14ac:dyDescent="0.2">
      <c r="A410" t="s">
        <v>414</v>
      </c>
      <c r="B410" t="s">
        <v>424</v>
      </c>
      <c r="C410" t="s">
        <v>407</v>
      </c>
      <c r="D410" t="s">
        <v>791</v>
      </c>
    </row>
    <row r="411" spans="1:4" x14ac:dyDescent="0.2">
      <c r="A411" t="s">
        <v>414</v>
      </c>
      <c r="B411" t="s">
        <v>424</v>
      </c>
      <c r="C411" t="s">
        <v>407</v>
      </c>
      <c r="D411" t="s">
        <v>792</v>
      </c>
    </row>
    <row r="412" spans="1:4" x14ac:dyDescent="0.2">
      <c r="A412" t="s">
        <v>414</v>
      </c>
      <c r="B412" t="s">
        <v>424</v>
      </c>
      <c r="C412" t="s">
        <v>407</v>
      </c>
      <c r="D412" t="s">
        <v>793</v>
      </c>
    </row>
    <row r="413" spans="1:4" x14ac:dyDescent="0.2">
      <c r="A413" t="s">
        <v>414</v>
      </c>
      <c r="B413" t="s">
        <v>424</v>
      </c>
      <c r="C413" t="s">
        <v>407</v>
      </c>
      <c r="D413" t="s">
        <v>794</v>
      </c>
    </row>
    <row r="414" spans="1:4" x14ac:dyDescent="0.2">
      <c r="A414" t="s">
        <v>414</v>
      </c>
      <c r="B414" t="s">
        <v>424</v>
      </c>
      <c r="C414" t="s">
        <v>407</v>
      </c>
      <c r="D414" t="s">
        <v>795</v>
      </c>
    </row>
    <row r="415" spans="1:4" x14ac:dyDescent="0.2">
      <c r="A415" t="s">
        <v>414</v>
      </c>
      <c r="B415" t="s">
        <v>424</v>
      </c>
      <c r="C415" t="s">
        <v>407</v>
      </c>
      <c r="D415" t="s">
        <v>796</v>
      </c>
    </row>
    <row r="416" spans="1:4" x14ac:dyDescent="0.2">
      <c r="A416" t="s">
        <v>414</v>
      </c>
      <c r="B416" t="s">
        <v>424</v>
      </c>
      <c r="C416" t="s">
        <v>407</v>
      </c>
      <c r="D416" t="s">
        <v>797</v>
      </c>
    </row>
    <row r="417" spans="1:4" x14ac:dyDescent="0.2">
      <c r="A417" t="s">
        <v>414</v>
      </c>
      <c r="B417" t="s">
        <v>424</v>
      </c>
      <c r="C417" t="s">
        <v>407</v>
      </c>
      <c r="D417" t="s">
        <v>798</v>
      </c>
    </row>
    <row r="418" spans="1:4" x14ac:dyDescent="0.2">
      <c r="A418" t="s">
        <v>414</v>
      </c>
      <c r="B418" t="s">
        <v>424</v>
      </c>
      <c r="C418" t="s">
        <v>407</v>
      </c>
      <c r="D418" t="s">
        <v>799</v>
      </c>
    </row>
    <row r="419" spans="1:4" x14ac:dyDescent="0.2">
      <c r="A419" t="s">
        <v>414</v>
      </c>
      <c r="B419" t="s">
        <v>424</v>
      </c>
      <c r="C419" t="s">
        <v>407</v>
      </c>
      <c r="D419" t="s">
        <v>800</v>
      </c>
    </row>
    <row r="420" spans="1:4" x14ac:dyDescent="0.2">
      <c r="A420" t="s">
        <v>414</v>
      </c>
      <c r="B420" t="s">
        <v>424</v>
      </c>
      <c r="C420" t="s">
        <v>407</v>
      </c>
      <c r="D420" t="s">
        <v>801</v>
      </c>
    </row>
    <row r="421" spans="1:4" x14ac:dyDescent="0.2">
      <c r="A421" t="s">
        <v>414</v>
      </c>
      <c r="B421" t="s">
        <v>424</v>
      </c>
      <c r="C421" t="s">
        <v>407</v>
      </c>
      <c r="D421" t="s">
        <v>802</v>
      </c>
    </row>
    <row r="422" spans="1:4" x14ac:dyDescent="0.2">
      <c r="A422" t="s">
        <v>414</v>
      </c>
      <c r="B422" t="s">
        <v>424</v>
      </c>
      <c r="C422" t="s">
        <v>407</v>
      </c>
      <c r="D422" t="s">
        <v>803</v>
      </c>
    </row>
    <row r="423" spans="1:4" x14ac:dyDescent="0.2">
      <c r="A423" t="s">
        <v>414</v>
      </c>
      <c r="B423" t="s">
        <v>424</v>
      </c>
      <c r="C423" t="s">
        <v>407</v>
      </c>
      <c r="D423" t="s">
        <v>804</v>
      </c>
    </row>
    <row r="424" spans="1:4" x14ac:dyDescent="0.2">
      <c r="A424" t="s">
        <v>414</v>
      </c>
      <c r="B424" t="s">
        <v>424</v>
      </c>
      <c r="C424" t="s">
        <v>407</v>
      </c>
      <c r="D424" t="s">
        <v>805</v>
      </c>
    </row>
    <row r="425" spans="1:4" x14ac:dyDescent="0.2">
      <c r="A425" t="s">
        <v>414</v>
      </c>
      <c r="B425" t="s">
        <v>424</v>
      </c>
      <c r="C425" t="s">
        <v>407</v>
      </c>
      <c r="D425" t="s">
        <v>806</v>
      </c>
    </row>
    <row r="426" spans="1:4" x14ac:dyDescent="0.2">
      <c r="A426" t="s">
        <v>414</v>
      </c>
      <c r="B426" t="s">
        <v>424</v>
      </c>
      <c r="C426" t="s">
        <v>407</v>
      </c>
      <c r="D426" t="s">
        <v>807</v>
      </c>
    </row>
    <row r="427" spans="1:4" x14ac:dyDescent="0.2">
      <c r="A427" t="s">
        <v>414</v>
      </c>
      <c r="B427" t="s">
        <v>424</v>
      </c>
      <c r="C427" t="s">
        <v>407</v>
      </c>
      <c r="D427" t="s">
        <v>808</v>
      </c>
    </row>
    <row r="428" spans="1:4" x14ac:dyDescent="0.2">
      <c r="A428" t="s">
        <v>414</v>
      </c>
      <c r="B428" t="s">
        <v>424</v>
      </c>
      <c r="C428" t="s">
        <v>407</v>
      </c>
      <c r="D428" t="s">
        <v>809</v>
      </c>
    </row>
    <row r="429" spans="1:4" x14ac:dyDescent="0.2">
      <c r="A429" t="s">
        <v>414</v>
      </c>
      <c r="B429" t="s">
        <v>424</v>
      </c>
      <c r="C429" t="s">
        <v>407</v>
      </c>
      <c r="D429" t="s">
        <v>810</v>
      </c>
    </row>
    <row r="430" spans="1:4" x14ac:dyDescent="0.2">
      <c r="A430" t="s">
        <v>414</v>
      </c>
      <c r="B430" t="s">
        <v>424</v>
      </c>
      <c r="C430" t="s">
        <v>407</v>
      </c>
      <c r="D430" t="s">
        <v>811</v>
      </c>
    </row>
    <row r="431" spans="1:4" x14ac:dyDescent="0.2">
      <c r="A431" t="s">
        <v>414</v>
      </c>
      <c r="B431" t="s">
        <v>424</v>
      </c>
      <c r="C431" t="s">
        <v>407</v>
      </c>
      <c r="D431" t="s">
        <v>812</v>
      </c>
    </row>
    <row r="432" spans="1:4" x14ac:dyDescent="0.2">
      <c r="A432" t="s">
        <v>414</v>
      </c>
      <c r="B432" t="s">
        <v>424</v>
      </c>
      <c r="C432" t="s">
        <v>407</v>
      </c>
      <c r="D432" t="s">
        <v>813</v>
      </c>
    </row>
    <row r="433" spans="1:4" x14ac:dyDescent="0.2">
      <c r="A433" t="s">
        <v>414</v>
      </c>
      <c r="B433" t="s">
        <v>424</v>
      </c>
      <c r="C433" t="s">
        <v>407</v>
      </c>
      <c r="D433" t="s">
        <v>814</v>
      </c>
    </row>
    <row r="434" spans="1:4" x14ac:dyDescent="0.2">
      <c r="A434" t="s">
        <v>414</v>
      </c>
      <c r="B434" t="s">
        <v>424</v>
      </c>
      <c r="C434" t="s">
        <v>407</v>
      </c>
      <c r="D434" t="s">
        <v>815</v>
      </c>
    </row>
    <row r="435" spans="1:4" x14ac:dyDescent="0.2">
      <c r="A435" t="s">
        <v>414</v>
      </c>
      <c r="B435" t="s">
        <v>424</v>
      </c>
      <c r="C435" t="s">
        <v>407</v>
      </c>
      <c r="D435" t="s">
        <v>816</v>
      </c>
    </row>
    <row r="436" spans="1:4" x14ac:dyDescent="0.2">
      <c r="A436" t="s">
        <v>414</v>
      </c>
      <c r="B436" t="s">
        <v>424</v>
      </c>
      <c r="C436" t="s">
        <v>407</v>
      </c>
      <c r="D436" t="s">
        <v>817</v>
      </c>
    </row>
    <row r="437" spans="1:4" x14ac:dyDescent="0.2">
      <c r="A437" t="s">
        <v>414</v>
      </c>
      <c r="B437" t="s">
        <v>424</v>
      </c>
      <c r="C437" t="s">
        <v>407</v>
      </c>
      <c r="D437" t="s">
        <v>818</v>
      </c>
    </row>
    <row r="438" spans="1:4" x14ac:dyDescent="0.2">
      <c r="A438" t="s">
        <v>414</v>
      </c>
      <c r="B438" t="s">
        <v>424</v>
      </c>
      <c r="C438" t="s">
        <v>407</v>
      </c>
      <c r="D438" t="s">
        <v>819</v>
      </c>
    </row>
    <row r="439" spans="1:4" x14ac:dyDescent="0.2">
      <c r="A439" t="s">
        <v>414</v>
      </c>
      <c r="B439" t="s">
        <v>424</v>
      </c>
      <c r="C439" t="s">
        <v>407</v>
      </c>
      <c r="D439" t="s">
        <v>820</v>
      </c>
    </row>
    <row r="440" spans="1:4" x14ac:dyDescent="0.2">
      <c r="A440" t="s">
        <v>414</v>
      </c>
      <c r="B440" t="s">
        <v>424</v>
      </c>
      <c r="C440" t="s">
        <v>407</v>
      </c>
      <c r="D440" t="s">
        <v>821</v>
      </c>
    </row>
    <row r="441" spans="1:4" x14ac:dyDescent="0.2">
      <c r="A441" t="s">
        <v>414</v>
      </c>
      <c r="B441" t="s">
        <v>424</v>
      </c>
      <c r="C441" t="s">
        <v>407</v>
      </c>
      <c r="D441" t="s">
        <v>822</v>
      </c>
    </row>
    <row r="442" spans="1:4" x14ac:dyDescent="0.2">
      <c r="A442" t="s">
        <v>414</v>
      </c>
      <c r="B442" t="s">
        <v>424</v>
      </c>
      <c r="C442" t="s">
        <v>407</v>
      </c>
      <c r="D442" t="s">
        <v>823</v>
      </c>
    </row>
    <row r="443" spans="1:4" x14ac:dyDescent="0.2">
      <c r="A443" t="s">
        <v>414</v>
      </c>
      <c r="B443" t="s">
        <v>424</v>
      </c>
      <c r="C443" t="s">
        <v>407</v>
      </c>
      <c r="D443" t="s">
        <v>824</v>
      </c>
    </row>
    <row r="444" spans="1:4" x14ac:dyDescent="0.2">
      <c r="A444" t="s">
        <v>414</v>
      </c>
      <c r="B444" t="s">
        <v>424</v>
      </c>
      <c r="C444" t="s">
        <v>407</v>
      </c>
      <c r="D444" t="s">
        <v>825</v>
      </c>
    </row>
    <row r="445" spans="1:4" x14ac:dyDescent="0.2">
      <c r="A445" t="s">
        <v>414</v>
      </c>
      <c r="B445" t="s">
        <v>424</v>
      </c>
      <c r="C445" t="s">
        <v>407</v>
      </c>
      <c r="D445" t="s">
        <v>826</v>
      </c>
    </row>
    <row r="446" spans="1:4" x14ac:dyDescent="0.2">
      <c r="A446" t="s">
        <v>414</v>
      </c>
      <c r="B446" t="s">
        <v>424</v>
      </c>
      <c r="C446" t="s">
        <v>407</v>
      </c>
      <c r="D446" t="s">
        <v>827</v>
      </c>
    </row>
    <row r="447" spans="1:4" x14ac:dyDescent="0.2">
      <c r="A447" t="s">
        <v>414</v>
      </c>
      <c r="B447" t="s">
        <v>424</v>
      </c>
      <c r="C447" t="s">
        <v>407</v>
      </c>
      <c r="D447" t="s">
        <v>828</v>
      </c>
    </row>
    <row r="448" spans="1:4" x14ac:dyDescent="0.2">
      <c r="A448" t="s">
        <v>414</v>
      </c>
      <c r="B448" t="s">
        <v>424</v>
      </c>
      <c r="C448" t="s">
        <v>407</v>
      </c>
      <c r="D448" t="s">
        <v>829</v>
      </c>
    </row>
    <row r="449" spans="1:4" x14ac:dyDescent="0.2">
      <c r="A449" t="s">
        <v>414</v>
      </c>
      <c r="B449" t="s">
        <v>424</v>
      </c>
      <c r="C449" t="s">
        <v>407</v>
      </c>
      <c r="D449" t="s">
        <v>830</v>
      </c>
    </row>
    <row r="450" spans="1:4" x14ac:dyDescent="0.2">
      <c r="A450" t="s">
        <v>414</v>
      </c>
      <c r="B450" t="s">
        <v>424</v>
      </c>
      <c r="C450" t="s">
        <v>407</v>
      </c>
      <c r="D450" t="s">
        <v>831</v>
      </c>
    </row>
    <row r="451" spans="1:4" x14ac:dyDescent="0.2">
      <c r="A451" t="s">
        <v>414</v>
      </c>
      <c r="B451" t="s">
        <v>424</v>
      </c>
      <c r="C451" t="s">
        <v>407</v>
      </c>
      <c r="D451" t="s">
        <v>832</v>
      </c>
    </row>
    <row r="452" spans="1:4" x14ac:dyDescent="0.2">
      <c r="A452" t="s">
        <v>414</v>
      </c>
      <c r="B452" t="s">
        <v>424</v>
      </c>
      <c r="C452" t="s">
        <v>407</v>
      </c>
      <c r="D452" t="s">
        <v>833</v>
      </c>
    </row>
    <row r="453" spans="1:4" x14ac:dyDescent="0.2">
      <c r="A453" t="s">
        <v>414</v>
      </c>
      <c r="B453" t="s">
        <v>424</v>
      </c>
      <c r="C453" t="s">
        <v>407</v>
      </c>
      <c r="D453" t="s">
        <v>834</v>
      </c>
    </row>
    <row r="454" spans="1:4" x14ac:dyDescent="0.2">
      <c r="A454" t="s">
        <v>414</v>
      </c>
      <c r="B454" t="s">
        <v>424</v>
      </c>
      <c r="C454" t="s">
        <v>407</v>
      </c>
      <c r="D454" t="s">
        <v>835</v>
      </c>
    </row>
    <row r="455" spans="1:4" x14ac:dyDescent="0.2">
      <c r="A455" t="s">
        <v>414</v>
      </c>
      <c r="B455" t="s">
        <v>424</v>
      </c>
      <c r="C455" t="s">
        <v>407</v>
      </c>
      <c r="D455" t="s">
        <v>836</v>
      </c>
    </row>
    <row r="456" spans="1:4" x14ac:dyDescent="0.2">
      <c r="A456" t="s">
        <v>414</v>
      </c>
      <c r="B456" t="s">
        <v>424</v>
      </c>
      <c r="C456" t="s">
        <v>407</v>
      </c>
      <c r="D456" t="s">
        <v>837</v>
      </c>
    </row>
    <row r="457" spans="1:4" x14ac:dyDescent="0.2">
      <c r="A457" t="s">
        <v>414</v>
      </c>
      <c r="B457" t="s">
        <v>424</v>
      </c>
      <c r="C457" t="s">
        <v>407</v>
      </c>
      <c r="D457" t="s">
        <v>838</v>
      </c>
    </row>
    <row r="458" spans="1:4" x14ac:dyDescent="0.2">
      <c r="A458" t="s">
        <v>414</v>
      </c>
      <c r="B458" t="s">
        <v>424</v>
      </c>
      <c r="C458" t="s">
        <v>407</v>
      </c>
      <c r="D458" t="s">
        <v>839</v>
      </c>
    </row>
    <row r="459" spans="1:4" x14ac:dyDescent="0.2">
      <c r="A459" t="s">
        <v>414</v>
      </c>
      <c r="B459" t="s">
        <v>424</v>
      </c>
      <c r="C459" t="s">
        <v>407</v>
      </c>
      <c r="D459" t="s">
        <v>840</v>
      </c>
    </row>
    <row r="460" spans="1:4" x14ac:dyDescent="0.2">
      <c r="A460" t="s">
        <v>414</v>
      </c>
      <c r="B460" t="s">
        <v>424</v>
      </c>
      <c r="C460" t="s">
        <v>407</v>
      </c>
      <c r="D460" t="s">
        <v>841</v>
      </c>
    </row>
    <row r="461" spans="1:4" x14ac:dyDescent="0.2">
      <c r="A461" t="s">
        <v>414</v>
      </c>
      <c r="B461" t="s">
        <v>424</v>
      </c>
      <c r="C461" t="s">
        <v>407</v>
      </c>
      <c r="D461" t="s">
        <v>842</v>
      </c>
    </row>
    <row r="462" spans="1:4" x14ac:dyDescent="0.2">
      <c r="A462" t="s">
        <v>414</v>
      </c>
      <c r="B462" t="s">
        <v>424</v>
      </c>
      <c r="C462" t="s">
        <v>407</v>
      </c>
      <c r="D462" t="s">
        <v>843</v>
      </c>
    </row>
    <row r="463" spans="1:4" x14ac:dyDescent="0.2">
      <c r="A463" t="s">
        <v>414</v>
      </c>
      <c r="B463" t="s">
        <v>424</v>
      </c>
      <c r="C463" t="s">
        <v>407</v>
      </c>
      <c r="D463" t="s">
        <v>844</v>
      </c>
    </row>
    <row r="464" spans="1:4" x14ac:dyDescent="0.2">
      <c r="A464" t="s">
        <v>414</v>
      </c>
      <c r="B464" t="s">
        <v>424</v>
      </c>
      <c r="C464" t="s">
        <v>407</v>
      </c>
      <c r="D464" t="s">
        <v>845</v>
      </c>
    </row>
    <row r="465" spans="1:4" x14ac:dyDescent="0.2">
      <c r="A465" t="s">
        <v>414</v>
      </c>
      <c r="B465" t="s">
        <v>424</v>
      </c>
      <c r="C465" t="s">
        <v>407</v>
      </c>
      <c r="D465" t="s">
        <v>846</v>
      </c>
    </row>
    <row r="466" spans="1:4" x14ac:dyDescent="0.2">
      <c r="A466" t="s">
        <v>414</v>
      </c>
      <c r="B466" t="s">
        <v>424</v>
      </c>
      <c r="C466" t="s">
        <v>407</v>
      </c>
      <c r="D466" t="s">
        <v>847</v>
      </c>
    </row>
    <row r="467" spans="1:4" x14ac:dyDescent="0.2">
      <c r="A467" t="s">
        <v>414</v>
      </c>
      <c r="B467" t="s">
        <v>424</v>
      </c>
      <c r="C467" t="s">
        <v>407</v>
      </c>
      <c r="D467" t="s">
        <v>848</v>
      </c>
    </row>
    <row r="468" spans="1:4" x14ac:dyDescent="0.2">
      <c r="A468" t="s">
        <v>414</v>
      </c>
      <c r="B468" t="s">
        <v>424</v>
      </c>
      <c r="C468" t="s">
        <v>407</v>
      </c>
      <c r="D468" t="s">
        <v>849</v>
      </c>
    </row>
    <row r="469" spans="1:4" x14ac:dyDescent="0.2">
      <c r="A469" t="s">
        <v>414</v>
      </c>
      <c r="B469" t="s">
        <v>424</v>
      </c>
      <c r="C469" t="s">
        <v>407</v>
      </c>
      <c r="D469" t="s">
        <v>850</v>
      </c>
    </row>
    <row r="470" spans="1:4" x14ac:dyDescent="0.2">
      <c r="A470" t="s">
        <v>414</v>
      </c>
      <c r="B470" t="s">
        <v>424</v>
      </c>
      <c r="C470" t="s">
        <v>407</v>
      </c>
      <c r="D470" t="s">
        <v>851</v>
      </c>
    </row>
    <row r="471" spans="1:4" x14ac:dyDescent="0.2">
      <c r="A471" t="s">
        <v>414</v>
      </c>
      <c r="B471" t="s">
        <v>424</v>
      </c>
      <c r="C471" t="s">
        <v>407</v>
      </c>
      <c r="D471" t="s">
        <v>852</v>
      </c>
    </row>
    <row r="472" spans="1:4" x14ac:dyDescent="0.2">
      <c r="A472" t="s">
        <v>414</v>
      </c>
      <c r="B472" t="s">
        <v>424</v>
      </c>
      <c r="C472" t="s">
        <v>407</v>
      </c>
      <c r="D472" t="s">
        <v>853</v>
      </c>
    </row>
    <row r="473" spans="1:4" x14ac:dyDescent="0.2">
      <c r="A473" t="s">
        <v>414</v>
      </c>
      <c r="B473" t="s">
        <v>424</v>
      </c>
      <c r="C473" t="s">
        <v>407</v>
      </c>
      <c r="D473" t="s">
        <v>854</v>
      </c>
    </row>
    <row r="474" spans="1:4" x14ac:dyDescent="0.2">
      <c r="A474" t="s">
        <v>414</v>
      </c>
      <c r="B474" t="s">
        <v>424</v>
      </c>
      <c r="C474" t="s">
        <v>407</v>
      </c>
      <c r="D474" t="s">
        <v>855</v>
      </c>
    </row>
    <row r="475" spans="1:4" x14ac:dyDescent="0.2">
      <c r="A475" t="s">
        <v>414</v>
      </c>
      <c r="B475" t="s">
        <v>424</v>
      </c>
      <c r="C475" t="s">
        <v>407</v>
      </c>
      <c r="D475" t="s">
        <v>856</v>
      </c>
    </row>
    <row r="476" spans="1:4" x14ac:dyDescent="0.2">
      <c r="A476" t="s">
        <v>414</v>
      </c>
      <c r="B476" t="s">
        <v>424</v>
      </c>
      <c r="C476" t="s">
        <v>407</v>
      </c>
      <c r="D476" t="s">
        <v>857</v>
      </c>
    </row>
    <row r="477" spans="1:4" x14ac:dyDescent="0.2">
      <c r="A477" t="s">
        <v>414</v>
      </c>
      <c r="B477" t="s">
        <v>424</v>
      </c>
      <c r="C477" t="s">
        <v>407</v>
      </c>
      <c r="D477" t="s">
        <v>858</v>
      </c>
    </row>
    <row r="478" spans="1:4" x14ac:dyDescent="0.2">
      <c r="A478" t="s">
        <v>414</v>
      </c>
      <c r="B478" t="s">
        <v>424</v>
      </c>
      <c r="C478" t="s">
        <v>407</v>
      </c>
      <c r="D478" t="s">
        <v>859</v>
      </c>
    </row>
    <row r="479" spans="1:4" x14ac:dyDescent="0.2">
      <c r="A479" t="s">
        <v>414</v>
      </c>
      <c r="B479" t="s">
        <v>424</v>
      </c>
      <c r="C479" t="s">
        <v>407</v>
      </c>
      <c r="D479" t="s">
        <v>860</v>
      </c>
    </row>
    <row r="480" spans="1:4" x14ac:dyDescent="0.2">
      <c r="A480" t="s">
        <v>414</v>
      </c>
      <c r="B480" t="s">
        <v>424</v>
      </c>
      <c r="C480" t="s">
        <v>407</v>
      </c>
      <c r="D480" t="s">
        <v>861</v>
      </c>
    </row>
    <row r="481" spans="1:4" x14ac:dyDescent="0.2">
      <c r="A481" t="s">
        <v>414</v>
      </c>
      <c r="B481" t="s">
        <v>424</v>
      </c>
      <c r="C481" t="s">
        <v>407</v>
      </c>
      <c r="D481" t="s">
        <v>862</v>
      </c>
    </row>
    <row r="482" spans="1:4" x14ac:dyDescent="0.2">
      <c r="A482" t="s">
        <v>414</v>
      </c>
      <c r="B482" t="s">
        <v>424</v>
      </c>
      <c r="C482" t="s">
        <v>407</v>
      </c>
      <c r="D482" t="s">
        <v>863</v>
      </c>
    </row>
    <row r="483" spans="1:4" x14ac:dyDescent="0.2">
      <c r="A483" t="s">
        <v>414</v>
      </c>
      <c r="B483" t="s">
        <v>424</v>
      </c>
      <c r="C483" t="s">
        <v>407</v>
      </c>
      <c r="D483" t="s">
        <v>864</v>
      </c>
    </row>
    <row r="484" spans="1:4" x14ac:dyDescent="0.2">
      <c r="A484" t="s">
        <v>414</v>
      </c>
      <c r="B484" t="s">
        <v>424</v>
      </c>
      <c r="C484" t="s">
        <v>407</v>
      </c>
      <c r="D484" t="s">
        <v>865</v>
      </c>
    </row>
    <row r="485" spans="1:4" x14ac:dyDescent="0.2">
      <c r="A485" t="s">
        <v>414</v>
      </c>
      <c r="B485" t="s">
        <v>424</v>
      </c>
      <c r="C485" t="s">
        <v>407</v>
      </c>
      <c r="D485" t="s">
        <v>866</v>
      </c>
    </row>
    <row r="486" spans="1:4" x14ac:dyDescent="0.2">
      <c r="A486" t="s">
        <v>414</v>
      </c>
      <c r="B486" t="s">
        <v>424</v>
      </c>
      <c r="C486" t="s">
        <v>408</v>
      </c>
      <c r="D486" t="s">
        <v>867</v>
      </c>
    </row>
    <row r="487" spans="1:4" x14ac:dyDescent="0.2">
      <c r="A487" t="s">
        <v>414</v>
      </c>
      <c r="B487" t="s">
        <v>424</v>
      </c>
      <c r="C487" t="s">
        <v>408</v>
      </c>
      <c r="D487" t="s">
        <v>868</v>
      </c>
    </row>
    <row r="488" spans="1:4" x14ac:dyDescent="0.2">
      <c r="A488" t="s">
        <v>414</v>
      </c>
      <c r="B488" t="s">
        <v>424</v>
      </c>
      <c r="C488" t="s">
        <v>408</v>
      </c>
      <c r="D488" t="s">
        <v>869</v>
      </c>
    </row>
    <row r="489" spans="1:4" x14ac:dyDescent="0.2">
      <c r="A489" t="s">
        <v>414</v>
      </c>
      <c r="B489" t="s">
        <v>424</v>
      </c>
      <c r="C489" t="s">
        <v>409</v>
      </c>
      <c r="D489" t="s">
        <v>870</v>
      </c>
    </row>
    <row r="490" spans="1:4" x14ac:dyDescent="0.2">
      <c r="A490" t="s">
        <v>414</v>
      </c>
      <c r="B490" t="s">
        <v>424</v>
      </c>
      <c r="C490" t="s">
        <v>409</v>
      </c>
      <c r="D490" t="s">
        <v>871</v>
      </c>
    </row>
    <row r="491" spans="1:4" x14ac:dyDescent="0.2">
      <c r="A491" t="s">
        <v>414</v>
      </c>
      <c r="B491" t="s">
        <v>424</v>
      </c>
      <c r="C491" t="s">
        <v>409</v>
      </c>
      <c r="D491" t="s">
        <v>872</v>
      </c>
    </row>
    <row r="492" spans="1:4" x14ac:dyDescent="0.2">
      <c r="A492" t="s">
        <v>414</v>
      </c>
      <c r="B492" t="s">
        <v>424</v>
      </c>
      <c r="C492" t="s">
        <v>409</v>
      </c>
      <c r="D492" t="s">
        <v>873</v>
      </c>
    </row>
    <row r="493" spans="1:4" x14ac:dyDescent="0.2">
      <c r="A493" t="s">
        <v>414</v>
      </c>
      <c r="B493" t="s">
        <v>424</v>
      </c>
      <c r="C493" t="s">
        <v>409</v>
      </c>
      <c r="D493" t="s">
        <v>874</v>
      </c>
    </row>
    <row r="494" spans="1:4" x14ac:dyDescent="0.2">
      <c r="A494" t="s">
        <v>414</v>
      </c>
      <c r="B494" t="s">
        <v>424</v>
      </c>
      <c r="C494" t="s">
        <v>409</v>
      </c>
      <c r="D494" t="s">
        <v>875</v>
      </c>
    </row>
    <row r="495" spans="1:4" x14ac:dyDescent="0.2">
      <c r="A495" t="s">
        <v>414</v>
      </c>
      <c r="B495" t="s">
        <v>424</v>
      </c>
      <c r="C495" t="s">
        <v>409</v>
      </c>
      <c r="D495" t="s">
        <v>876</v>
      </c>
    </row>
    <row r="496" spans="1:4" x14ac:dyDescent="0.2">
      <c r="A496" t="s">
        <v>414</v>
      </c>
      <c r="B496" t="s">
        <v>424</v>
      </c>
      <c r="C496" t="s">
        <v>409</v>
      </c>
      <c r="D496" t="s">
        <v>877</v>
      </c>
    </row>
    <row r="497" spans="1:4" x14ac:dyDescent="0.2">
      <c r="A497" t="s">
        <v>414</v>
      </c>
      <c r="B497" t="s">
        <v>424</v>
      </c>
      <c r="C497" t="s">
        <v>409</v>
      </c>
      <c r="D497" t="s">
        <v>878</v>
      </c>
    </row>
    <row r="498" spans="1:4" x14ac:dyDescent="0.2">
      <c r="A498" t="s">
        <v>414</v>
      </c>
      <c r="B498" t="s">
        <v>424</v>
      </c>
      <c r="C498" t="s">
        <v>409</v>
      </c>
      <c r="D498" t="s">
        <v>879</v>
      </c>
    </row>
    <row r="499" spans="1:4" x14ac:dyDescent="0.2">
      <c r="A499" t="s">
        <v>414</v>
      </c>
      <c r="B499" t="s">
        <v>424</v>
      </c>
      <c r="C499" t="s">
        <v>409</v>
      </c>
      <c r="D499" t="s">
        <v>880</v>
      </c>
    </row>
    <row r="500" spans="1:4" x14ac:dyDescent="0.2">
      <c r="A500" t="s">
        <v>414</v>
      </c>
      <c r="B500" t="s">
        <v>424</v>
      </c>
      <c r="C500" t="s">
        <v>409</v>
      </c>
      <c r="D500" t="s">
        <v>881</v>
      </c>
    </row>
    <row r="501" spans="1:4" x14ac:dyDescent="0.2">
      <c r="A501" t="s">
        <v>414</v>
      </c>
      <c r="B501" t="s">
        <v>424</v>
      </c>
      <c r="C501" t="s">
        <v>409</v>
      </c>
      <c r="D501" t="s">
        <v>882</v>
      </c>
    </row>
    <row r="502" spans="1:4" x14ac:dyDescent="0.2">
      <c r="A502" t="s">
        <v>414</v>
      </c>
      <c r="B502" t="s">
        <v>424</v>
      </c>
      <c r="C502" t="s">
        <v>409</v>
      </c>
      <c r="D502" t="s">
        <v>883</v>
      </c>
    </row>
    <row r="503" spans="1:4" x14ac:dyDescent="0.2">
      <c r="A503" t="s">
        <v>414</v>
      </c>
      <c r="B503" t="s">
        <v>424</v>
      </c>
      <c r="C503" t="s">
        <v>409</v>
      </c>
      <c r="D503" t="s">
        <v>884</v>
      </c>
    </row>
    <row r="504" spans="1:4" x14ac:dyDescent="0.2">
      <c r="A504" t="s">
        <v>414</v>
      </c>
      <c r="B504" t="s">
        <v>424</v>
      </c>
      <c r="C504" t="s">
        <v>409</v>
      </c>
      <c r="D504" t="s">
        <v>885</v>
      </c>
    </row>
    <row r="505" spans="1:4" x14ac:dyDescent="0.2">
      <c r="A505" t="s">
        <v>414</v>
      </c>
      <c r="B505" t="s">
        <v>424</v>
      </c>
      <c r="C505" t="s">
        <v>409</v>
      </c>
      <c r="D505" t="s">
        <v>886</v>
      </c>
    </row>
    <row r="506" spans="1:4" x14ac:dyDescent="0.2">
      <c r="A506" t="s">
        <v>414</v>
      </c>
      <c r="B506" t="s">
        <v>424</v>
      </c>
      <c r="C506" t="s">
        <v>409</v>
      </c>
      <c r="D506" t="s">
        <v>887</v>
      </c>
    </row>
    <row r="507" spans="1:4" x14ac:dyDescent="0.2">
      <c r="A507" t="s">
        <v>414</v>
      </c>
      <c r="B507" t="s">
        <v>424</v>
      </c>
      <c r="C507" t="s">
        <v>409</v>
      </c>
      <c r="D507" t="s">
        <v>888</v>
      </c>
    </row>
    <row r="508" spans="1:4" x14ac:dyDescent="0.2">
      <c r="A508" t="s">
        <v>414</v>
      </c>
      <c r="B508" t="s">
        <v>424</v>
      </c>
      <c r="C508" t="s">
        <v>409</v>
      </c>
      <c r="D508" t="s">
        <v>889</v>
      </c>
    </row>
    <row r="509" spans="1:4" x14ac:dyDescent="0.2">
      <c r="A509" t="s">
        <v>414</v>
      </c>
      <c r="B509" t="s">
        <v>424</v>
      </c>
      <c r="C509" t="s">
        <v>409</v>
      </c>
      <c r="D509" t="s">
        <v>890</v>
      </c>
    </row>
    <row r="510" spans="1:4" x14ac:dyDescent="0.2">
      <c r="A510" t="s">
        <v>414</v>
      </c>
      <c r="B510" t="s">
        <v>424</v>
      </c>
      <c r="C510" t="s">
        <v>409</v>
      </c>
      <c r="D510" t="s">
        <v>891</v>
      </c>
    </row>
    <row r="511" spans="1:4" x14ac:dyDescent="0.2">
      <c r="A511" t="s">
        <v>414</v>
      </c>
      <c r="B511" t="s">
        <v>424</v>
      </c>
      <c r="C511" t="s">
        <v>409</v>
      </c>
      <c r="D511" t="s">
        <v>892</v>
      </c>
    </row>
    <row r="512" spans="1:4" x14ac:dyDescent="0.2">
      <c r="A512" t="s">
        <v>414</v>
      </c>
      <c r="B512" t="s">
        <v>424</v>
      </c>
      <c r="C512" t="s">
        <v>409</v>
      </c>
      <c r="D512" t="s">
        <v>893</v>
      </c>
    </row>
    <row r="513" spans="1:4" x14ac:dyDescent="0.2">
      <c r="A513" t="s">
        <v>414</v>
      </c>
      <c r="B513" t="s">
        <v>424</v>
      </c>
      <c r="C513" t="s">
        <v>409</v>
      </c>
      <c r="D513" t="s">
        <v>894</v>
      </c>
    </row>
    <row r="514" spans="1:4" x14ac:dyDescent="0.2">
      <c r="A514" t="s">
        <v>414</v>
      </c>
      <c r="B514" t="s">
        <v>424</v>
      </c>
      <c r="C514" t="s">
        <v>409</v>
      </c>
      <c r="D514" t="s">
        <v>895</v>
      </c>
    </row>
    <row r="515" spans="1:4" x14ac:dyDescent="0.2">
      <c r="A515" t="s">
        <v>414</v>
      </c>
      <c r="B515" t="s">
        <v>424</v>
      </c>
      <c r="C515" t="s">
        <v>409</v>
      </c>
      <c r="D515" t="s">
        <v>896</v>
      </c>
    </row>
    <row r="516" spans="1:4" x14ac:dyDescent="0.2">
      <c r="A516" t="s">
        <v>414</v>
      </c>
      <c r="B516" t="s">
        <v>424</v>
      </c>
      <c r="C516" t="s">
        <v>409</v>
      </c>
      <c r="D516" t="s">
        <v>897</v>
      </c>
    </row>
    <row r="517" spans="1:4" x14ac:dyDescent="0.2">
      <c r="A517" t="s">
        <v>414</v>
      </c>
      <c r="B517" t="s">
        <v>424</v>
      </c>
      <c r="C517" t="s">
        <v>409</v>
      </c>
      <c r="D517" t="s">
        <v>898</v>
      </c>
    </row>
    <row r="518" spans="1:4" x14ac:dyDescent="0.2">
      <c r="A518" t="s">
        <v>414</v>
      </c>
      <c r="B518" t="s">
        <v>424</v>
      </c>
      <c r="C518" t="s">
        <v>409</v>
      </c>
      <c r="D518" t="s">
        <v>899</v>
      </c>
    </row>
    <row r="519" spans="1:4" x14ac:dyDescent="0.2">
      <c r="A519" t="s">
        <v>414</v>
      </c>
      <c r="B519" t="s">
        <v>424</v>
      </c>
      <c r="C519" t="s">
        <v>409</v>
      </c>
      <c r="D519" t="s">
        <v>900</v>
      </c>
    </row>
    <row r="520" spans="1:4" x14ac:dyDescent="0.2">
      <c r="A520" t="s">
        <v>414</v>
      </c>
      <c r="B520" t="s">
        <v>424</v>
      </c>
      <c r="C520" t="s">
        <v>409</v>
      </c>
      <c r="D520" t="s">
        <v>901</v>
      </c>
    </row>
    <row r="521" spans="1:4" x14ac:dyDescent="0.2">
      <c r="A521" t="s">
        <v>414</v>
      </c>
      <c r="B521" t="s">
        <v>424</v>
      </c>
      <c r="C521" t="s">
        <v>409</v>
      </c>
      <c r="D521" t="s">
        <v>902</v>
      </c>
    </row>
    <row r="522" spans="1:4" x14ac:dyDescent="0.2">
      <c r="A522" t="s">
        <v>414</v>
      </c>
      <c r="B522" t="s">
        <v>424</v>
      </c>
      <c r="C522" t="s">
        <v>409</v>
      </c>
      <c r="D522" t="s">
        <v>903</v>
      </c>
    </row>
    <row r="523" spans="1:4" x14ac:dyDescent="0.2">
      <c r="A523" t="s">
        <v>414</v>
      </c>
      <c r="B523" t="s">
        <v>424</v>
      </c>
      <c r="C523" t="s">
        <v>409</v>
      </c>
      <c r="D523" t="s">
        <v>904</v>
      </c>
    </row>
    <row r="524" spans="1:4" x14ac:dyDescent="0.2">
      <c r="A524" t="s">
        <v>414</v>
      </c>
      <c r="B524" t="s">
        <v>424</v>
      </c>
      <c r="C524" t="s">
        <v>409</v>
      </c>
      <c r="D524" t="s">
        <v>905</v>
      </c>
    </row>
    <row r="525" spans="1:4" x14ac:dyDescent="0.2">
      <c r="A525" t="s">
        <v>414</v>
      </c>
      <c r="B525" t="s">
        <v>424</v>
      </c>
      <c r="C525" t="s">
        <v>409</v>
      </c>
      <c r="D525" t="s">
        <v>906</v>
      </c>
    </row>
    <row r="526" spans="1:4" x14ac:dyDescent="0.2">
      <c r="A526" t="s">
        <v>414</v>
      </c>
      <c r="B526" t="s">
        <v>424</v>
      </c>
      <c r="C526" t="s">
        <v>409</v>
      </c>
      <c r="D526" t="s">
        <v>907</v>
      </c>
    </row>
    <row r="527" spans="1:4" x14ac:dyDescent="0.2">
      <c r="A527" t="s">
        <v>414</v>
      </c>
      <c r="B527" t="s">
        <v>424</v>
      </c>
      <c r="C527" t="s">
        <v>409</v>
      </c>
      <c r="D527" t="s">
        <v>908</v>
      </c>
    </row>
    <row r="528" spans="1:4" x14ac:dyDescent="0.2">
      <c r="A528" t="s">
        <v>414</v>
      </c>
      <c r="B528" t="s">
        <v>424</v>
      </c>
      <c r="C528" t="s">
        <v>409</v>
      </c>
      <c r="D528" t="s">
        <v>909</v>
      </c>
    </row>
    <row r="529" spans="1:4" x14ac:dyDescent="0.2">
      <c r="A529" t="s">
        <v>414</v>
      </c>
      <c r="B529" t="s">
        <v>424</v>
      </c>
      <c r="C529" t="s">
        <v>409</v>
      </c>
      <c r="D529" t="s">
        <v>910</v>
      </c>
    </row>
    <row r="530" spans="1:4" x14ac:dyDescent="0.2">
      <c r="A530" t="s">
        <v>414</v>
      </c>
      <c r="B530" t="s">
        <v>424</v>
      </c>
      <c r="C530" t="s">
        <v>409</v>
      </c>
      <c r="D530" t="s">
        <v>911</v>
      </c>
    </row>
    <row r="531" spans="1:4" x14ac:dyDescent="0.2">
      <c r="A531" t="s">
        <v>414</v>
      </c>
      <c r="B531" t="s">
        <v>424</v>
      </c>
      <c r="C531" t="s">
        <v>409</v>
      </c>
      <c r="D531" t="s">
        <v>912</v>
      </c>
    </row>
    <row r="532" spans="1:4" x14ac:dyDescent="0.2">
      <c r="A532" t="s">
        <v>414</v>
      </c>
      <c r="B532" t="s">
        <v>424</v>
      </c>
      <c r="C532" t="s">
        <v>409</v>
      </c>
      <c r="D532" t="s">
        <v>913</v>
      </c>
    </row>
    <row r="533" spans="1:4" x14ac:dyDescent="0.2">
      <c r="A533" t="s">
        <v>414</v>
      </c>
      <c r="B533" t="s">
        <v>424</v>
      </c>
      <c r="C533" t="s">
        <v>409</v>
      </c>
      <c r="D533" t="s">
        <v>914</v>
      </c>
    </row>
    <row r="534" spans="1:4" x14ac:dyDescent="0.2">
      <c r="A534" t="s">
        <v>414</v>
      </c>
      <c r="B534" t="s">
        <v>424</v>
      </c>
      <c r="C534" t="s">
        <v>409</v>
      </c>
      <c r="D534" t="s">
        <v>915</v>
      </c>
    </row>
    <row r="535" spans="1:4" x14ac:dyDescent="0.2">
      <c r="A535" t="s">
        <v>414</v>
      </c>
      <c r="B535" t="s">
        <v>424</v>
      </c>
      <c r="C535" t="s">
        <v>409</v>
      </c>
      <c r="D535" t="s">
        <v>916</v>
      </c>
    </row>
    <row r="536" spans="1:4" x14ac:dyDescent="0.2">
      <c r="A536" t="s">
        <v>414</v>
      </c>
      <c r="B536" t="s">
        <v>424</v>
      </c>
      <c r="C536" t="s">
        <v>409</v>
      </c>
      <c r="D536" t="s">
        <v>917</v>
      </c>
    </row>
    <row r="537" spans="1:4" x14ac:dyDescent="0.2">
      <c r="A537" t="s">
        <v>414</v>
      </c>
      <c r="B537" t="s">
        <v>424</v>
      </c>
      <c r="C537" t="s">
        <v>409</v>
      </c>
      <c r="D537" t="s">
        <v>918</v>
      </c>
    </row>
    <row r="538" spans="1:4" x14ac:dyDescent="0.2">
      <c r="A538" t="s">
        <v>414</v>
      </c>
      <c r="B538" t="s">
        <v>424</v>
      </c>
      <c r="C538" t="s">
        <v>409</v>
      </c>
      <c r="D538" t="s">
        <v>919</v>
      </c>
    </row>
    <row r="539" spans="1:4" x14ac:dyDescent="0.2">
      <c r="A539" t="s">
        <v>414</v>
      </c>
      <c r="B539" t="s">
        <v>424</v>
      </c>
      <c r="C539" t="s">
        <v>409</v>
      </c>
      <c r="D539" t="s">
        <v>920</v>
      </c>
    </row>
    <row r="540" spans="1:4" x14ac:dyDescent="0.2">
      <c r="A540" t="s">
        <v>414</v>
      </c>
      <c r="B540" t="s">
        <v>424</v>
      </c>
      <c r="C540" t="s">
        <v>299</v>
      </c>
      <c r="D540" t="s">
        <v>921</v>
      </c>
    </row>
    <row r="541" spans="1:4" x14ac:dyDescent="0.2">
      <c r="A541" t="s">
        <v>414</v>
      </c>
      <c r="B541" t="s">
        <v>424</v>
      </c>
      <c r="C541" t="s">
        <v>299</v>
      </c>
      <c r="D541" t="s">
        <v>922</v>
      </c>
    </row>
    <row r="542" spans="1:4" x14ac:dyDescent="0.2">
      <c r="A542" t="s">
        <v>414</v>
      </c>
      <c r="B542" t="s">
        <v>424</v>
      </c>
      <c r="C542" t="s">
        <v>299</v>
      </c>
      <c r="D542" t="s">
        <v>923</v>
      </c>
    </row>
    <row r="543" spans="1:4" x14ac:dyDescent="0.2">
      <c r="A543" t="s">
        <v>414</v>
      </c>
      <c r="B543" t="s">
        <v>424</v>
      </c>
      <c r="C543" t="s">
        <v>299</v>
      </c>
      <c r="D543" t="s">
        <v>924</v>
      </c>
    </row>
    <row r="544" spans="1:4" x14ac:dyDescent="0.2">
      <c r="A544" t="s">
        <v>414</v>
      </c>
      <c r="B544" t="s">
        <v>424</v>
      </c>
      <c r="C544" t="s">
        <v>299</v>
      </c>
      <c r="D544" t="s">
        <v>925</v>
      </c>
    </row>
    <row r="545" spans="1:4" x14ac:dyDescent="0.2">
      <c r="A545" t="s">
        <v>414</v>
      </c>
      <c r="B545" t="s">
        <v>424</v>
      </c>
      <c r="C545" t="s">
        <v>299</v>
      </c>
      <c r="D545" t="s">
        <v>926</v>
      </c>
    </row>
    <row r="546" spans="1:4" x14ac:dyDescent="0.2">
      <c r="A546" t="s">
        <v>414</v>
      </c>
      <c r="B546" t="s">
        <v>424</v>
      </c>
      <c r="C546" t="s">
        <v>299</v>
      </c>
      <c r="D546" t="s">
        <v>927</v>
      </c>
    </row>
    <row r="547" spans="1:4" x14ac:dyDescent="0.2">
      <c r="A547" t="s">
        <v>414</v>
      </c>
      <c r="B547" t="s">
        <v>424</v>
      </c>
      <c r="C547" t="s">
        <v>299</v>
      </c>
      <c r="D547" t="s">
        <v>928</v>
      </c>
    </row>
    <row r="548" spans="1:4" x14ac:dyDescent="0.2">
      <c r="A548" t="s">
        <v>414</v>
      </c>
      <c r="B548" t="s">
        <v>424</v>
      </c>
      <c r="C548" t="s">
        <v>299</v>
      </c>
      <c r="D548" t="s">
        <v>929</v>
      </c>
    </row>
    <row r="549" spans="1:4" x14ac:dyDescent="0.2">
      <c r="A549" t="s">
        <v>414</v>
      </c>
      <c r="B549" t="s">
        <v>424</v>
      </c>
      <c r="C549" t="s">
        <v>299</v>
      </c>
      <c r="D549" t="s">
        <v>930</v>
      </c>
    </row>
    <row r="550" spans="1:4" x14ac:dyDescent="0.2">
      <c r="A550" t="s">
        <v>414</v>
      </c>
      <c r="B550" t="s">
        <v>424</v>
      </c>
      <c r="C550" t="s">
        <v>299</v>
      </c>
      <c r="D550" t="s">
        <v>931</v>
      </c>
    </row>
    <row r="551" spans="1:4" x14ac:dyDescent="0.2">
      <c r="A551" t="s">
        <v>414</v>
      </c>
      <c r="B551" t="s">
        <v>424</v>
      </c>
      <c r="C551" t="s">
        <v>299</v>
      </c>
      <c r="D551" t="s">
        <v>932</v>
      </c>
    </row>
    <row r="552" spans="1:4" x14ac:dyDescent="0.2">
      <c r="A552" t="s">
        <v>414</v>
      </c>
      <c r="B552" t="s">
        <v>424</v>
      </c>
      <c r="C552" t="s">
        <v>299</v>
      </c>
      <c r="D552" t="s">
        <v>933</v>
      </c>
    </row>
    <row r="553" spans="1:4" x14ac:dyDescent="0.2">
      <c r="A553" t="s">
        <v>414</v>
      </c>
      <c r="B553" t="s">
        <v>424</v>
      </c>
      <c r="C553" t="s">
        <v>299</v>
      </c>
      <c r="D553" t="s">
        <v>934</v>
      </c>
    </row>
    <row r="554" spans="1:4" x14ac:dyDescent="0.2">
      <c r="A554" t="s">
        <v>414</v>
      </c>
      <c r="B554" t="s">
        <v>424</v>
      </c>
      <c r="C554" t="s">
        <v>299</v>
      </c>
      <c r="D554" t="s">
        <v>935</v>
      </c>
    </row>
    <row r="555" spans="1:4" x14ac:dyDescent="0.2">
      <c r="A555" t="s">
        <v>414</v>
      </c>
      <c r="B555" t="s">
        <v>424</v>
      </c>
      <c r="C555" t="s">
        <v>299</v>
      </c>
      <c r="D555" t="s">
        <v>936</v>
      </c>
    </row>
    <row r="556" spans="1:4" x14ac:dyDescent="0.2">
      <c r="A556" t="s">
        <v>414</v>
      </c>
      <c r="B556" t="s">
        <v>424</v>
      </c>
      <c r="C556" t="s">
        <v>299</v>
      </c>
      <c r="D556" t="s">
        <v>937</v>
      </c>
    </row>
    <row r="557" spans="1:4" x14ac:dyDescent="0.2">
      <c r="A557" t="s">
        <v>414</v>
      </c>
      <c r="B557" t="s">
        <v>424</v>
      </c>
      <c r="C557" t="s">
        <v>299</v>
      </c>
      <c r="D557" t="s">
        <v>938</v>
      </c>
    </row>
    <row r="558" spans="1:4" x14ac:dyDescent="0.2">
      <c r="A558" t="s">
        <v>414</v>
      </c>
      <c r="B558" t="s">
        <v>424</v>
      </c>
      <c r="C558" t="s">
        <v>299</v>
      </c>
      <c r="D558" t="s">
        <v>939</v>
      </c>
    </row>
    <row r="559" spans="1:4" x14ac:dyDescent="0.2">
      <c r="A559" t="s">
        <v>414</v>
      </c>
      <c r="B559" t="s">
        <v>424</v>
      </c>
      <c r="C559" t="s">
        <v>299</v>
      </c>
      <c r="D559" t="s">
        <v>940</v>
      </c>
    </row>
    <row r="560" spans="1:4" x14ac:dyDescent="0.2">
      <c r="A560" t="s">
        <v>414</v>
      </c>
      <c r="B560" t="s">
        <v>424</v>
      </c>
      <c r="C560" t="s">
        <v>299</v>
      </c>
      <c r="D560" t="s">
        <v>941</v>
      </c>
    </row>
    <row r="561" spans="1:4" x14ac:dyDescent="0.2">
      <c r="A561" t="s">
        <v>414</v>
      </c>
      <c r="B561" t="s">
        <v>424</v>
      </c>
      <c r="C561" t="s">
        <v>299</v>
      </c>
      <c r="D561" t="s">
        <v>942</v>
      </c>
    </row>
    <row r="562" spans="1:4" x14ac:dyDescent="0.2">
      <c r="A562" t="s">
        <v>414</v>
      </c>
      <c r="B562" t="s">
        <v>424</v>
      </c>
      <c r="C562" t="s">
        <v>299</v>
      </c>
      <c r="D562" t="s">
        <v>943</v>
      </c>
    </row>
    <row r="563" spans="1:4" x14ac:dyDescent="0.2">
      <c r="A563" t="s">
        <v>414</v>
      </c>
      <c r="B563" t="s">
        <v>424</v>
      </c>
      <c r="C563" t="s">
        <v>299</v>
      </c>
      <c r="D563" t="s">
        <v>944</v>
      </c>
    </row>
    <row r="564" spans="1:4" x14ac:dyDescent="0.2">
      <c r="A564" t="s">
        <v>414</v>
      </c>
      <c r="B564" t="s">
        <v>424</v>
      </c>
      <c r="C564" t="s">
        <v>299</v>
      </c>
      <c r="D564" t="s">
        <v>945</v>
      </c>
    </row>
    <row r="565" spans="1:4" x14ac:dyDescent="0.2">
      <c r="A565" t="s">
        <v>414</v>
      </c>
      <c r="B565" t="s">
        <v>424</v>
      </c>
      <c r="C565" t="s">
        <v>299</v>
      </c>
      <c r="D565" t="s">
        <v>946</v>
      </c>
    </row>
    <row r="566" spans="1:4" x14ac:dyDescent="0.2">
      <c r="A566" t="s">
        <v>414</v>
      </c>
      <c r="B566" t="s">
        <v>424</v>
      </c>
      <c r="C566" t="s">
        <v>299</v>
      </c>
      <c r="D566" t="s">
        <v>947</v>
      </c>
    </row>
    <row r="567" spans="1:4" x14ac:dyDescent="0.2">
      <c r="A567" t="s">
        <v>414</v>
      </c>
      <c r="B567" t="s">
        <v>424</v>
      </c>
      <c r="C567" t="s">
        <v>299</v>
      </c>
      <c r="D567" t="s">
        <v>948</v>
      </c>
    </row>
    <row r="568" spans="1:4" x14ac:dyDescent="0.2">
      <c r="A568" t="s">
        <v>414</v>
      </c>
      <c r="B568" t="s">
        <v>424</v>
      </c>
      <c r="C568" t="s">
        <v>299</v>
      </c>
      <c r="D568" t="s">
        <v>949</v>
      </c>
    </row>
    <row r="569" spans="1:4" x14ac:dyDescent="0.2">
      <c r="A569" t="s">
        <v>414</v>
      </c>
      <c r="B569" t="s">
        <v>424</v>
      </c>
      <c r="C569" t="s">
        <v>299</v>
      </c>
      <c r="D569" t="s">
        <v>950</v>
      </c>
    </row>
    <row r="570" spans="1:4" x14ac:dyDescent="0.2">
      <c r="A570" t="s">
        <v>414</v>
      </c>
      <c r="B570" t="s">
        <v>424</v>
      </c>
      <c r="C570" t="s">
        <v>299</v>
      </c>
      <c r="D570" t="s">
        <v>951</v>
      </c>
    </row>
    <row r="571" spans="1:4" x14ac:dyDescent="0.2">
      <c r="A571" t="s">
        <v>414</v>
      </c>
      <c r="B571" t="s">
        <v>424</v>
      </c>
      <c r="C571" t="s">
        <v>299</v>
      </c>
      <c r="D571" t="s">
        <v>952</v>
      </c>
    </row>
    <row r="572" spans="1:4" x14ac:dyDescent="0.2">
      <c r="A572" t="s">
        <v>414</v>
      </c>
      <c r="B572" t="s">
        <v>424</v>
      </c>
      <c r="C572" t="s">
        <v>299</v>
      </c>
      <c r="D572" t="s">
        <v>953</v>
      </c>
    </row>
    <row r="573" spans="1:4" x14ac:dyDescent="0.2">
      <c r="A573" t="s">
        <v>414</v>
      </c>
      <c r="B573" t="s">
        <v>424</v>
      </c>
      <c r="C573" t="s">
        <v>299</v>
      </c>
      <c r="D573" t="s">
        <v>954</v>
      </c>
    </row>
    <row r="574" spans="1:4" x14ac:dyDescent="0.2">
      <c r="A574" t="s">
        <v>414</v>
      </c>
      <c r="B574" t="s">
        <v>424</v>
      </c>
      <c r="C574" t="s">
        <v>299</v>
      </c>
      <c r="D574" t="s">
        <v>955</v>
      </c>
    </row>
    <row r="575" spans="1:4" x14ac:dyDescent="0.2">
      <c r="A575" t="s">
        <v>414</v>
      </c>
      <c r="B575" t="s">
        <v>424</v>
      </c>
      <c r="C575" t="s">
        <v>299</v>
      </c>
      <c r="D575" t="s">
        <v>956</v>
      </c>
    </row>
    <row r="576" spans="1:4" x14ac:dyDescent="0.2">
      <c r="A576" t="s">
        <v>414</v>
      </c>
      <c r="B576" t="s">
        <v>424</v>
      </c>
      <c r="C576" t="s">
        <v>299</v>
      </c>
      <c r="D576" t="s">
        <v>957</v>
      </c>
    </row>
    <row r="577" spans="1:4" x14ac:dyDescent="0.2">
      <c r="A577" t="s">
        <v>414</v>
      </c>
      <c r="B577" t="s">
        <v>424</v>
      </c>
      <c r="C577" t="s">
        <v>299</v>
      </c>
      <c r="D577" t="s">
        <v>958</v>
      </c>
    </row>
    <row r="578" spans="1:4" x14ac:dyDescent="0.2">
      <c r="A578" t="s">
        <v>414</v>
      </c>
      <c r="B578" t="s">
        <v>424</v>
      </c>
      <c r="C578" t="s">
        <v>299</v>
      </c>
      <c r="D578" t="s">
        <v>959</v>
      </c>
    </row>
    <row r="579" spans="1:4" x14ac:dyDescent="0.2">
      <c r="A579" t="s">
        <v>414</v>
      </c>
      <c r="B579" t="s">
        <v>424</v>
      </c>
      <c r="C579" t="s">
        <v>299</v>
      </c>
      <c r="D579" t="s">
        <v>960</v>
      </c>
    </row>
    <row r="580" spans="1:4" x14ac:dyDescent="0.2">
      <c r="A580" t="s">
        <v>414</v>
      </c>
      <c r="B580" t="s">
        <v>424</v>
      </c>
      <c r="C580" t="s">
        <v>299</v>
      </c>
      <c r="D580" t="s">
        <v>961</v>
      </c>
    </row>
    <row r="581" spans="1:4" x14ac:dyDescent="0.2">
      <c r="A581" t="s">
        <v>414</v>
      </c>
      <c r="B581" t="s">
        <v>424</v>
      </c>
      <c r="C581" t="s">
        <v>299</v>
      </c>
      <c r="D581" t="s">
        <v>962</v>
      </c>
    </row>
    <row r="582" spans="1:4" x14ac:dyDescent="0.2">
      <c r="A582" t="s">
        <v>414</v>
      </c>
      <c r="B582" t="s">
        <v>424</v>
      </c>
      <c r="C582" t="s">
        <v>299</v>
      </c>
      <c r="D582" t="s">
        <v>963</v>
      </c>
    </row>
    <row r="583" spans="1:4" x14ac:dyDescent="0.2">
      <c r="A583" t="s">
        <v>414</v>
      </c>
      <c r="B583" t="s">
        <v>424</v>
      </c>
      <c r="C583" t="s">
        <v>299</v>
      </c>
      <c r="D583" t="s">
        <v>964</v>
      </c>
    </row>
    <row r="584" spans="1:4" x14ac:dyDescent="0.2">
      <c r="A584" t="s">
        <v>414</v>
      </c>
      <c r="B584" t="s">
        <v>424</v>
      </c>
      <c r="C584" t="s">
        <v>299</v>
      </c>
      <c r="D584" t="s">
        <v>965</v>
      </c>
    </row>
    <row r="585" spans="1:4" x14ac:dyDescent="0.2">
      <c r="A585" t="s">
        <v>414</v>
      </c>
      <c r="B585" t="s">
        <v>424</v>
      </c>
      <c r="C585" t="s">
        <v>299</v>
      </c>
      <c r="D585" t="s">
        <v>966</v>
      </c>
    </row>
    <row r="586" spans="1:4" x14ac:dyDescent="0.2">
      <c r="A586" t="s">
        <v>414</v>
      </c>
      <c r="B586" t="s">
        <v>424</v>
      </c>
      <c r="C586" t="s">
        <v>299</v>
      </c>
      <c r="D586" t="s">
        <v>967</v>
      </c>
    </row>
    <row r="587" spans="1:4" x14ac:dyDescent="0.2">
      <c r="A587" t="s">
        <v>414</v>
      </c>
      <c r="B587" t="s">
        <v>424</v>
      </c>
      <c r="C587" t="s">
        <v>299</v>
      </c>
      <c r="D587" t="s">
        <v>968</v>
      </c>
    </row>
    <row r="588" spans="1:4" x14ac:dyDescent="0.2">
      <c r="A588" t="s">
        <v>414</v>
      </c>
      <c r="B588" t="s">
        <v>424</v>
      </c>
      <c r="C588" t="s">
        <v>299</v>
      </c>
      <c r="D588" t="s">
        <v>969</v>
      </c>
    </row>
    <row r="589" spans="1:4" x14ac:dyDescent="0.2">
      <c r="A589" t="s">
        <v>414</v>
      </c>
      <c r="B589" t="s">
        <v>424</v>
      </c>
      <c r="C589" t="s">
        <v>299</v>
      </c>
      <c r="D589" t="s">
        <v>970</v>
      </c>
    </row>
    <row r="590" spans="1:4" x14ac:dyDescent="0.2">
      <c r="A590" t="s">
        <v>414</v>
      </c>
      <c r="B590" t="s">
        <v>424</v>
      </c>
      <c r="C590" t="s">
        <v>299</v>
      </c>
      <c r="D590" t="s">
        <v>971</v>
      </c>
    </row>
    <row r="591" spans="1:4" x14ac:dyDescent="0.2">
      <c r="A591" t="s">
        <v>414</v>
      </c>
      <c r="B591" t="s">
        <v>424</v>
      </c>
      <c r="C591" t="s">
        <v>299</v>
      </c>
      <c r="D591" t="s">
        <v>972</v>
      </c>
    </row>
    <row r="592" spans="1:4" x14ac:dyDescent="0.2">
      <c r="A592" t="s">
        <v>414</v>
      </c>
      <c r="B592" t="s">
        <v>424</v>
      </c>
      <c r="C592" t="s">
        <v>299</v>
      </c>
      <c r="D592" t="s">
        <v>973</v>
      </c>
    </row>
    <row r="593" spans="1:4" x14ac:dyDescent="0.2">
      <c r="A593" t="s">
        <v>414</v>
      </c>
      <c r="B593" t="s">
        <v>424</v>
      </c>
      <c r="C593" t="s">
        <v>299</v>
      </c>
      <c r="D593" t="s">
        <v>974</v>
      </c>
    </row>
    <row r="594" spans="1:4" x14ac:dyDescent="0.2">
      <c r="A594" t="s">
        <v>414</v>
      </c>
      <c r="B594" t="s">
        <v>424</v>
      </c>
      <c r="C594" t="s">
        <v>299</v>
      </c>
      <c r="D594" t="s">
        <v>975</v>
      </c>
    </row>
    <row r="595" spans="1:4" x14ac:dyDescent="0.2">
      <c r="A595" t="s">
        <v>414</v>
      </c>
      <c r="B595" t="s">
        <v>424</v>
      </c>
      <c r="C595" t="s">
        <v>299</v>
      </c>
      <c r="D595" t="s">
        <v>976</v>
      </c>
    </row>
    <row r="596" spans="1:4" x14ac:dyDescent="0.2">
      <c r="A596" t="s">
        <v>414</v>
      </c>
      <c r="B596" t="s">
        <v>424</v>
      </c>
      <c r="C596" t="s">
        <v>299</v>
      </c>
      <c r="D596" t="s">
        <v>977</v>
      </c>
    </row>
    <row r="597" spans="1:4" x14ac:dyDescent="0.2">
      <c r="A597" t="s">
        <v>414</v>
      </c>
      <c r="B597" t="s">
        <v>424</v>
      </c>
      <c r="C597" t="s">
        <v>299</v>
      </c>
      <c r="D597" t="s">
        <v>978</v>
      </c>
    </row>
    <row r="598" spans="1:4" x14ac:dyDescent="0.2">
      <c r="A598" t="s">
        <v>414</v>
      </c>
      <c r="B598" t="s">
        <v>424</v>
      </c>
      <c r="C598" t="s">
        <v>299</v>
      </c>
      <c r="D598" t="s">
        <v>979</v>
      </c>
    </row>
    <row r="599" spans="1:4" x14ac:dyDescent="0.2">
      <c r="A599" t="s">
        <v>414</v>
      </c>
      <c r="B599" t="s">
        <v>424</v>
      </c>
      <c r="C599" t="s">
        <v>299</v>
      </c>
      <c r="D599" t="s">
        <v>980</v>
      </c>
    </row>
    <row r="600" spans="1:4" x14ac:dyDescent="0.2">
      <c r="A600" t="s">
        <v>414</v>
      </c>
      <c r="B600" t="s">
        <v>424</v>
      </c>
      <c r="C600" t="s">
        <v>299</v>
      </c>
      <c r="D600" t="s">
        <v>981</v>
      </c>
    </row>
    <row r="601" spans="1:4" x14ac:dyDescent="0.2">
      <c r="A601" t="s">
        <v>414</v>
      </c>
      <c r="B601" t="s">
        <v>424</v>
      </c>
      <c r="C601" t="s">
        <v>299</v>
      </c>
      <c r="D601" t="s">
        <v>982</v>
      </c>
    </row>
    <row r="602" spans="1:4" x14ac:dyDescent="0.2">
      <c r="A602" t="s">
        <v>414</v>
      </c>
      <c r="B602" t="s">
        <v>424</v>
      </c>
      <c r="C602" t="s">
        <v>299</v>
      </c>
      <c r="D602" t="s">
        <v>983</v>
      </c>
    </row>
    <row r="603" spans="1:4" x14ac:dyDescent="0.2">
      <c r="A603" t="s">
        <v>414</v>
      </c>
      <c r="B603" t="s">
        <v>424</v>
      </c>
      <c r="C603" t="s">
        <v>299</v>
      </c>
      <c r="D603" t="s">
        <v>984</v>
      </c>
    </row>
    <row r="604" spans="1:4" x14ac:dyDescent="0.2">
      <c r="A604" t="s">
        <v>414</v>
      </c>
      <c r="B604" t="s">
        <v>424</v>
      </c>
      <c r="C604" t="s">
        <v>299</v>
      </c>
      <c r="D604" t="s">
        <v>985</v>
      </c>
    </row>
    <row r="605" spans="1:4" x14ac:dyDescent="0.2">
      <c r="A605" t="s">
        <v>414</v>
      </c>
      <c r="B605" t="s">
        <v>424</v>
      </c>
      <c r="C605" t="s">
        <v>299</v>
      </c>
      <c r="D605" t="s">
        <v>986</v>
      </c>
    </row>
    <row r="606" spans="1:4" x14ac:dyDescent="0.2">
      <c r="A606" t="s">
        <v>414</v>
      </c>
      <c r="B606" t="s">
        <v>424</v>
      </c>
      <c r="C606" t="s">
        <v>299</v>
      </c>
      <c r="D606" t="s">
        <v>987</v>
      </c>
    </row>
    <row r="607" spans="1:4" x14ac:dyDescent="0.2">
      <c r="A607" t="s">
        <v>414</v>
      </c>
      <c r="B607" t="s">
        <v>424</v>
      </c>
      <c r="C607" t="s">
        <v>299</v>
      </c>
      <c r="D607" t="s">
        <v>988</v>
      </c>
    </row>
    <row r="608" spans="1:4" x14ac:dyDescent="0.2">
      <c r="A608" t="s">
        <v>414</v>
      </c>
      <c r="B608" t="s">
        <v>424</v>
      </c>
      <c r="C608" t="s">
        <v>299</v>
      </c>
      <c r="D608" t="s">
        <v>989</v>
      </c>
    </row>
    <row r="609" spans="1:4" x14ac:dyDescent="0.2">
      <c r="A609" t="s">
        <v>414</v>
      </c>
      <c r="B609" t="s">
        <v>424</v>
      </c>
      <c r="C609" t="s">
        <v>299</v>
      </c>
      <c r="D609" t="s">
        <v>990</v>
      </c>
    </row>
    <row r="610" spans="1:4" x14ac:dyDescent="0.2">
      <c r="A610" t="s">
        <v>414</v>
      </c>
      <c r="B610" t="s">
        <v>424</v>
      </c>
      <c r="C610" t="s">
        <v>299</v>
      </c>
      <c r="D610" t="s">
        <v>991</v>
      </c>
    </row>
    <row r="611" spans="1:4" x14ac:dyDescent="0.2">
      <c r="A611" t="s">
        <v>414</v>
      </c>
      <c r="B611" t="s">
        <v>424</v>
      </c>
      <c r="C611" t="s">
        <v>299</v>
      </c>
      <c r="D611" t="s">
        <v>992</v>
      </c>
    </row>
    <row r="612" spans="1:4" x14ac:dyDescent="0.2">
      <c r="A612" t="s">
        <v>414</v>
      </c>
      <c r="B612" t="s">
        <v>424</v>
      </c>
      <c r="C612" t="s">
        <v>299</v>
      </c>
      <c r="D612" t="s">
        <v>993</v>
      </c>
    </row>
    <row r="613" spans="1:4" x14ac:dyDescent="0.2">
      <c r="A613" t="s">
        <v>414</v>
      </c>
      <c r="B613" t="s">
        <v>424</v>
      </c>
      <c r="C613" t="s">
        <v>299</v>
      </c>
      <c r="D613" t="s">
        <v>994</v>
      </c>
    </row>
    <row r="614" spans="1:4" x14ac:dyDescent="0.2">
      <c r="A614" t="s">
        <v>414</v>
      </c>
      <c r="B614" t="s">
        <v>424</v>
      </c>
      <c r="C614" t="s">
        <v>299</v>
      </c>
      <c r="D614" t="s">
        <v>995</v>
      </c>
    </row>
    <row r="615" spans="1:4" x14ac:dyDescent="0.2">
      <c r="A615" t="s">
        <v>414</v>
      </c>
      <c r="B615" t="s">
        <v>424</v>
      </c>
      <c r="C615" t="s">
        <v>299</v>
      </c>
      <c r="D615" t="s">
        <v>996</v>
      </c>
    </row>
    <row r="616" spans="1:4" x14ac:dyDescent="0.2">
      <c r="A616" t="s">
        <v>414</v>
      </c>
      <c r="B616" t="s">
        <v>424</v>
      </c>
      <c r="C616" t="s">
        <v>299</v>
      </c>
      <c r="D616" t="s">
        <v>997</v>
      </c>
    </row>
    <row r="617" spans="1:4" x14ac:dyDescent="0.2">
      <c r="A617" t="s">
        <v>414</v>
      </c>
      <c r="B617" t="s">
        <v>424</v>
      </c>
      <c r="C617" t="s">
        <v>299</v>
      </c>
      <c r="D617" t="s">
        <v>998</v>
      </c>
    </row>
    <row r="618" spans="1:4" x14ac:dyDescent="0.2">
      <c r="A618" t="s">
        <v>414</v>
      </c>
      <c r="B618" t="s">
        <v>424</v>
      </c>
      <c r="C618" t="s">
        <v>299</v>
      </c>
      <c r="D618" t="s">
        <v>999</v>
      </c>
    </row>
    <row r="619" spans="1:4" x14ac:dyDescent="0.2">
      <c r="A619" t="s">
        <v>414</v>
      </c>
      <c r="B619" t="s">
        <v>424</v>
      </c>
      <c r="C619" t="s">
        <v>299</v>
      </c>
      <c r="D619" t="s">
        <v>1000</v>
      </c>
    </row>
    <row r="620" spans="1:4" x14ac:dyDescent="0.2">
      <c r="A620" t="s">
        <v>414</v>
      </c>
      <c r="B620" t="s">
        <v>424</v>
      </c>
      <c r="C620" t="s">
        <v>299</v>
      </c>
      <c r="D620" t="s">
        <v>1001</v>
      </c>
    </row>
    <row r="621" spans="1:4" x14ac:dyDescent="0.2">
      <c r="A621" t="s">
        <v>414</v>
      </c>
      <c r="B621" t="s">
        <v>424</v>
      </c>
      <c r="C621" t="s">
        <v>299</v>
      </c>
      <c r="D621" t="s">
        <v>1002</v>
      </c>
    </row>
    <row r="622" spans="1:4" x14ac:dyDescent="0.2">
      <c r="A622" t="s">
        <v>414</v>
      </c>
      <c r="B622" t="s">
        <v>424</v>
      </c>
      <c r="C622" t="s">
        <v>299</v>
      </c>
      <c r="D622" t="s">
        <v>1003</v>
      </c>
    </row>
    <row r="623" spans="1:4" x14ac:dyDescent="0.2">
      <c r="A623" t="s">
        <v>414</v>
      </c>
      <c r="B623" t="s">
        <v>424</v>
      </c>
      <c r="C623" t="s">
        <v>299</v>
      </c>
      <c r="D623" t="s">
        <v>1004</v>
      </c>
    </row>
    <row r="624" spans="1:4" x14ac:dyDescent="0.2">
      <c r="A624" t="s">
        <v>414</v>
      </c>
      <c r="B624" t="s">
        <v>424</v>
      </c>
      <c r="C624" t="s">
        <v>299</v>
      </c>
      <c r="D624" t="s">
        <v>1005</v>
      </c>
    </row>
    <row r="625" spans="1:4" x14ac:dyDescent="0.2">
      <c r="A625" t="s">
        <v>414</v>
      </c>
      <c r="B625" t="s">
        <v>424</v>
      </c>
      <c r="C625" t="s">
        <v>299</v>
      </c>
      <c r="D625" t="s">
        <v>1006</v>
      </c>
    </row>
    <row r="626" spans="1:4" x14ac:dyDescent="0.2">
      <c r="A626" t="s">
        <v>414</v>
      </c>
      <c r="B626" t="s">
        <v>424</v>
      </c>
      <c r="C626" t="s">
        <v>299</v>
      </c>
      <c r="D626" t="s">
        <v>1007</v>
      </c>
    </row>
    <row r="627" spans="1:4" x14ac:dyDescent="0.2">
      <c r="A627" t="s">
        <v>414</v>
      </c>
      <c r="B627" t="s">
        <v>424</v>
      </c>
      <c r="C627" t="s">
        <v>299</v>
      </c>
      <c r="D627" t="s">
        <v>1008</v>
      </c>
    </row>
    <row r="628" spans="1:4" x14ac:dyDescent="0.2">
      <c r="A628" t="s">
        <v>414</v>
      </c>
      <c r="B628" t="s">
        <v>424</v>
      </c>
      <c r="C628" t="s">
        <v>410</v>
      </c>
      <c r="D628" t="s">
        <v>1009</v>
      </c>
    </row>
    <row r="629" spans="1:4" x14ac:dyDescent="0.2">
      <c r="A629" t="s">
        <v>414</v>
      </c>
      <c r="B629" t="s">
        <v>424</v>
      </c>
      <c r="C629" t="s">
        <v>411</v>
      </c>
      <c r="D629" t="s">
        <v>1010</v>
      </c>
    </row>
    <row r="630" spans="1:4" x14ac:dyDescent="0.2">
      <c r="A630" t="s">
        <v>414</v>
      </c>
      <c r="B630" t="s">
        <v>424</v>
      </c>
      <c r="C630" t="s">
        <v>411</v>
      </c>
      <c r="D630" t="s">
        <v>1011</v>
      </c>
    </row>
    <row r="631" spans="1:4" x14ac:dyDescent="0.2">
      <c r="A631" t="s">
        <v>414</v>
      </c>
      <c r="B631" t="s">
        <v>424</v>
      </c>
      <c r="C631" t="s">
        <v>411</v>
      </c>
      <c r="D631" t="s">
        <v>1012</v>
      </c>
    </row>
    <row r="632" spans="1:4" x14ac:dyDescent="0.2">
      <c r="A632" t="s">
        <v>414</v>
      </c>
      <c r="B632" t="s">
        <v>424</v>
      </c>
      <c r="C632" t="s">
        <v>411</v>
      </c>
      <c r="D632" t="s">
        <v>1013</v>
      </c>
    </row>
    <row r="633" spans="1:4" x14ac:dyDescent="0.2">
      <c r="A633" t="s">
        <v>414</v>
      </c>
      <c r="B633" t="s">
        <v>424</v>
      </c>
      <c r="C633" t="s">
        <v>411</v>
      </c>
      <c r="D633" t="s">
        <v>1014</v>
      </c>
    </row>
    <row r="634" spans="1:4" x14ac:dyDescent="0.2">
      <c r="A634" t="s">
        <v>414</v>
      </c>
      <c r="B634" t="s">
        <v>424</v>
      </c>
      <c r="C634" t="s">
        <v>411</v>
      </c>
      <c r="D634" t="s">
        <v>1015</v>
      </c>
    </row>
    <row r="635" spans="1:4" x14ac:dyDescent="0.2">
      <c r="A635" t="s">
        <v>414</v>
      </c>
      <c r="B635" t="s">
        <v>424</v>
      </c>
      <c r="C635" t="s">
        <v>411</v>
      </c>
      <c r="D635" t="s">
        <v>1016</v>
      </c>
    </row>
    <row r="636" spans="1:4" x14ac:dyDescent="0.2">
      <c r="A636" t="s">
        <v>414</v>
      </c>
      <c r="B636" t="s">
        <v>424</v>
      </c>
      <c r="C636" t="s">
        <v>411</v>
      </c>
      <c r="D636" t="s">
        <v>1017</v>
      </c>
    </row>
    <row r="637" spans="1:4" x14ac:dyDescent="0.2">
      <c r="A637" t="s">
        <v>414</v>
      </c>
      <c r="B637" t="s">
        <v>424</v>
      </c>
      <c r="C637" t="s">
        <v>411</v>
      </c>
      <c r="D637" t="s">
        <v>1018</v>
      </c>
    </row>
    <row r="638" spans="1:4" x14ac:dyDescent="0.2">
      <c r="A638" t="s">
        <v>414</v>
      </c>
      <c r="B638" t="s">
        <v>424</v>
      </c>
      <c r="C638" t="s">
        <v>411</v>
      </c>
      <c r="D638" t="s">
        <v>1019</v>
      </c>
    </row>
    <row r="639" spans="1:4" x14ac:dyDescent="0.2">
      <c r="A639" t="s">
        <v>414</v>
      </c>
      <c r="B639" t="s">
        <v>424</v>
      </c>
      <c r="C639" t="s">
        <v>411</v>
      </c>
      <c r="D639" t="s">
        <v>1020</v>
      </c>
    </row>
    <row r="640" spans="1:4" x14ac:dyDescent="0.2">
      <c r="A640" t="s">
        <v>414</v>
      </c>
      <c r="B640" t="s">
        <v>424</v>
      </c>
      <c r="C640" t="s">
        <v>411</v>
      </c>
      <c r="D640" t="s">
        <v>1021</v>
      </c>
    </row>
    <row r="641" spans="1:4" x14ac:dyDescent="0.2">
      <c r="A641" t="s">
        <v>414</v>
      </c>
      <c r="B641" t="s">
        <v>424</v>
      </c>
      <c r="C641" t="s">
        <v>411</v>
      </c>
      <c r="D641" t="s">
        <v>1022</v>
      </c>
    </row>
    <row r="642" spans="1:4" x14ac:dyDescent="0.2">
      <c r="A642" t="s">
        <v>414</v>
      </c>
      <c r="B642" t="s">
        <v>424</v>
      </c>
      <c r="C642" t="s">
        <v>411</v>
      </c>
      <c r="D642" t="s">
        <v>1023</v>
      </c>
    </row>
    <row r="643" spans="1:4" x14ac:dyDescent="0.2">
      <c r="A643" t="s">
        <v>414</v>
      </c>
      <c r="B643" t="s">
        <v>424</v>
      </c>
      <c r="C643" t="s">
        <v>411</v>
      </c>
      <c r="D643" t="s">
        <v>1024</v>
      </c>
    </row>
    <row r="644" spans="1:4" x14ac:dyDescent="0.2">
      <c r="A644" t="s">
        <v>414</v>
      </c>
      <c r="B644" t="s">
        <v>424</v>
      </c>
      <c r="C644" t="s">
        <v>411</v>
      </c>
      <c r="D644" t="s">
        <v>1025</v>
      </c>
    </row>
    <row r="645" spans="1:4" x14ac:dyDescent="0.2">
      <c r="A645" t="s">
        <v>414</v>
      </c>
      <c r="B645" t="s">
        <v>424</v>
      </c>
      <c r="C645" t="s">
        <v>411</v>
      </c>
      <c r="D645" t="s">
        <v>1026</v>
      </c>
    </row>
    <row r="646" spans="1:4" x14ac:dyDescent="0.2">
      <c r="A646" t="s">
        <v>414</v>
      </c>
      <c r="B646" t="s">
        <v>424</v>
      </c>
      <c r="C646" t="s">
        <v>411</v>
      </c>
      <c r="D646" t="s">
        <v>1027</v>
      </c>
    </row>
    <row r="647" spans="1:4" x14ac:dyDescent="0.2">
      <c r="A647" t="s">
        <v>414</v>
      </c>
      <c r="B647" t="s">
        <v>424</v>
      </c>
      <c r="C647" t="s">
        <v>411</v>
      </c>
      <c r="D647" t="s">
        <v>1028</v>
      </c>
    </row>
    <row r="648" spans="1:4" x14ac:dyDescent="0.2">
      <c r="A648" t="s">
        <v>414</v>
      </c>
      <c r="B648" t="s">
        <v>424</v>
      </c>
      <c r="C648" t="s">
        <v>411</v>
      </c>
      <c r="D648" t="s">
        <v>1029</v>
      </c>
    </row>
    <row r="649" spans="1:4" x14ac:dyDescent="0.2">
      <c r="A649" t="s">
        <v>414</v>
      </c>
      <c r="B649" t="s">
        <v>424</v>
      </c>
      <c r="C649" t="s">
        <v>411</v>
      </c>
      <c r="D649" t="s">
        <v>1030</v>
      </c>
    </row>
    <row r="650" spans="1:4" x14ac:dyDescent="0.2">
      <c r="A650" t="s">
        <v>414</v>
      </c>
      <c r="B650" t="s">
        <v>424</v>
      </c>
      <c r="C650" t="s">
        <v>411</v>
      </c>
      <c r="D650" t="s">
        <v>1031</v>
      </c>
    </row>
    <row r="651" spans="1:4" x14ac:dyDescent="0.2">
      <c r="A651" t="s">
        <v>414</v>
      </c>
      <c r="B651" t="s">
        <v>424</v>
      </c>
      <c r="C651" t="s">
        <v>411</v>
      </c>
      <c r="D651" t="s">
        <v>1032</v>
      </c>
    </row>
    <row r="652" spans="1:4" x14ac:dyDescent="0.2">
      <c r="A652" t="s">
        <v>414</v>
      </c>
      <c r="B652" t="s">
        <v>424</v>
      </c>
      <c r="C652" t="s">
        <v>411</v>
      </c>
      <c r="D652" t="s">
        <v>1033</v>
      </c>
    </row>
    <row r="653" spans="1:4" x14ac:dyDescent="0.2">
      <c r="A653" t="s">
        <v>414</v>
      </c>
      <c r="B653" t="s">
        <v>424</v>
      </c>
      <c r="C653" t="s">
        <v>411</v>
      </c>
      <c r="D653" t="s">
        <v>1034</v>
      </c>
    </row>
    <row r="654" spans="1:4" x14ac:dyDescent="0.2">
      <c r="A654" t="s">
        <v>414</v>
      </c>
      <c r="B654" t="s">
        <v>424</v>
      </c>
      <c r="C654" t="s">
        <v>411</v>
      </c>
      <c r="D654" t="s">
        <v>1035</v>
      </c>
    </row>
    <row r="655" spans="1:4" x14ac:dyDescent="0.2">
      <c r="A655" t="s">
        <v>414</v>
      </c>
      <c r="B655" t="s">
        <v>424</v>
      </c>
      <c r="C655" t="s">
        <v>411</v>
      </c>
      <c r="D655" t="s">
        <v>1036</v>
      </c>
    </row>
    <row r="656" spans="1:4" x14ac:dyDescent="0.2">
      <c r="A656" t="s">
        <v>414</v>
      </c>
      <c r="B656" t="s">
        <v>424</v>
      </c>
      <c r="C656" t="s">
        <v>411</v>
      </c>
      <c r="D656" t="s">
        <v>1037</v>
      </c>
    </row>
    <row r="657" spans="1:4" x14ac:dyDescent="0.2">
      <c r="A657" t="s">
        <v>414</v>
      </c>
      <c r="B657" t="s">
        <v>424</v>
      </c>
      <c r="C657" t="s">
        <v>411</v>
      </c>
      <c r="D657" t="s">
        <v>1038</v>
      </c>
    </row>
    <row r="658" spans="1:4" x14ac:dyDescent="0.2">
      <c r="A658" t="s">
        <v>414</v>
      </c>
      <c r="B658" t="s">
        <v>424</v>
      </c>
      <c r="C658" t="s">
        <v>411</v>
      </c>
      <c r="D658" t="s">
        <v>1039</v>
      </c>
    </row>
    <row r="659" spans="1:4" x14ac:dyDescent="0.2">
      <c r="A659" t="s">
        <v>414</v>
      </c>
      <c r="B659" t="s">
        <v>424</v>
      </c>
      <c r="C659" t="s">
        <v>411</v>
      </c>
      <c r="D659" t="s">
        <v>1040</v>
      </c>
    </row>
    <row r="660" spans="1:4" x14ac:dyDescent="0.2">
      <c r="A660" t="s">
        <v>414</v>
      </c>
      <c r="B660" t="s">
        <v>424</v>
      </c>
      <c r="C660" t="s">
        <v>411</v>
      </c>
      <c r="D660" t="s">
        <v>1041</v>
      </c>
    </row>
    <row r="661" spans="1:4" x14ac:dyDescent="0.2">
      <c r="A661" t="s">
        <v>414</v>
      </c>
      <c r="B661" t="s">
        <v>424</v>
      </c>
      <c r="C661" t="s">
        <v>411</v>
      </c>
      <c r="D661" t="s">
        <v>1042</v>
      </c>
    </row>
    <row r="662" spans="1:4" x14ac:dyDescent="0.2">
      <c r="A662" t="s">
        <v>414</v>
      </c>
      <c r="B662" t="s">
        <v>424</v>
      </c>
      <c r="C662" t="s">
        <v>411</v>
      </c>
      <c r="D662" t="s">
        <v>1043</v>
      </c>
    </row>
    <row r="663" spans="1:4" x14ac:dyDescent="0.2">
      <c r="A663" t="s">
        <v>414</v>
      </c>
      <c r="B663" t="s">
        <v>424</v>
      </c>
      <c r="C663" t="s">
        <v>411</v>
      </c>
      <c r="D663" t="s">
        <v>1044</v>
      </c>
    </row>
    <row r="664" spans="1:4" x14ac:dyDescent="0.2">
      <c r="A664" t="s">
        <v>414</v>
      </c>
      <c r="B664" t="s">
        <v>424</v>
      </c>
      <c r="C664" t="s">
        <v>411</v>
      </c>
      <c r="D664" t="s">
        <v>1045</v>
      </c>
    </row>
    <row r="665" spans="1:4" x14ac:dyDescent="0.2">
      <c r="A665" t="s">
        <v>414</v>
      </c>
      <c r="B665" t="s">
        <v>424</v>
      </c>
      <c r="C665" t="s">
        <v>411</v>
      </c>
      <c r="D665" t="s">
        <v>1046</v>
      </c>
    </row>
    <row r="666" spans="1:4" x14ac:dyDescent="0.2">
      <c r="A666" t="s">
        <v>414</v>
      </c>
      <c r="B666" t="s">
        <v>424</v>
      </c>
      <c r="C666" t="s">
        <v>411</v>
      </c>
      <c r="D666" t="s">
        <v>1047</v>
      </c>
    </row>
    <row r="667" spans="1:4" x14ac:dyDescent="0.2">
      <c r="A667" t="s">
        <v>414</v>
      </c>
      <c r="B667" t="s">
        <v>424</v>
      </c>
      <c r="C667" t="s">
        <v>411</v>
      </c>
      <c r="D667" t="s">
        <v>1048</v>
      </c>
    </row>
    <row r="668" spans="1:4" x14ac:dyDescent="0.2">
      <c r="A668" t="s">
        <v>414</v>
      </c>
      <c r="B668" t="s">
        <v>424</v>
      </c>
      <c r="C668" t="s">
        <v>411</v>
      </c>
      <c r="D668" t="s">
        <v>1049</v>
      </c>
    </row>
    <row r="669" spans="1:4" x14ac:dyDescent="0.2">
      <c r="A669" t="s">
        <v>414</v>
      </c>
      <c r="B669" t="s">
        <v>424</v>
      </c>
      <c r="C669" t="s">
        <v>411</v>
      </c>
      <c r="D669" t="s">
        <v>1050</v>
      </c>
    </row>
    <row r="670" spans="1:4" x14ac:dyDescent="0.2">
      <c r="A670" t="s">
        <v>414</v>
      </c>
      <c r="B670" t="s">
        <v>424</v>
      </c>
      <c r="C670" t="s">
        <v>411</v>
      </c>
      <c r="D670" t="s">
        <v>1051</v>
      </c>
    </row>
    <row r="671" spans="1:4" x14ac:dyDescent="0.2">
      <c r="A671" t="s">
        <v>414</v>
      </c>
      <c r="B671" t="s">
        <v>424</v>
      </c>
      <c r="C671" t="s">
        <v>411</v>
      </c>
      <c r="D671" t="s">
        <v>1052</v>
      </c>
    </row>
    <row r="672" spans="1:4" x14ac:dyDescent="0.2">
      <c r="A672" t="s">
        <v>414</v>
      </c>
      <c r="B672" t="s">
        <v>424</v>
      </c>
      <c r="C672" t="s">
        <v>411</v>
      </c>
      <c r="D672" t="s">
        <v>1053</v>
      </c>
    </row>
    <row r="673" spans="1:4" x14ac:dyDescent="0.2">
      <c r="A673" t="s">
        <v>414</v>
      </c>
      <c r="B673" t="s">
        <v>424</v>
      </c>
      <c r="C673" t="s">
        <v>411</v>
      </c>
      <c r="D673" t="s">
        <v>1054</v>
      </c>
    </row>
    <row r="674" spans="1:4" x14ac:dyDescent="0.2">
      <c r="A674" t="s">
        <v>414</v>
      </c>
      <c r="B674" t="s">
        <v>424</v>
      </c>
      <c r="C674" t="s">
        <v>411</v>
      </c>
      <c r="D674" t="s">
        <v>1055</v>
      </c>
    </row>
    <row r="675" spans="1:4" x14ac:dyDescent="0.2">
      <c r="A675" t="s">
        <v>414</v>
      </c>
      <c r="B675" t="s">
        <v>424</v>
      </c>
      <c r="C675" t="s">
        <v>411</v>
      </c>
      <c r="D675" t="s">
        <v>1056</v>
      </c>
    </row>
    <row r="676" spans="1:4" x14ac:dyDescent="0.2">
      <c r="A676" t="s">
        <v>414</v>
      </c>
      <c r="B676" t="s">
        <v>424</v>
      </c>
      <c r="C676" t="s">
        <v>411</v>
      </c>
      <c r="D676" t="s">
        <v>1057</v>
      </c>
    </row>
    <row r="677" spans="1:4" x14ac:dyDescent="0.2">
      <c r="A677" t="s">
        <v>414</v>
      </c>
      <c r="B677" t="s">
        <v>424</v>
      </c>
      <c r="C677" t="s">
        <v>411</v>
      </c>
      <c r="D677" t="s">
        <v>1058</v>
      </c>
    </row>
    <row r="678" spans="1:4" x14ac:dyDescent="0.2">
      <c r="A678" t="s">
        <v>414</v>
      </c>
      <c r="B678" t="s">
        <v>424</v>
      </c>
      <c r="C678" t="s">
        <v>411</v>
      </c>
      <c r="D678" t="s">
        <v>1059</v>
      </c>
    </row>
    <row r="679" spans="1:4" x14ac:dyDescent="0.2">
      <c r="A679" t="s">
        <v>414</v>
      </c>
      <c r="B679" t="s">
        <v>424</v>
      </c>
      <c r="C679" t="s">
        <v>411</v>
      </c>
      <c r="D679" t="s">
        <v>1060</v>
      </c>
    </row>
    <row r="680" spans="1:4" x14ac:dyDescent="0.2">
      <c r="A680" t="s">
        <v>414</v>
      </c>
      <c r="B680" t="s">
        <v>424</v>
      </c>
      <c r="C680" t="s">
        <v>411</v>
      </c>
      <c r="D680" t="s">
        <v>1061</v>
      </c>
    </row>
    <row r="681" spans="1:4" x14ac:dyDescent="0.2">
      <c r="A681" t="s">
        <v>414</v>
      </c>
      <c r="B681" t="s">
        <v>424</v>
      </c>
      <c r="C681" t="s">
        <v>411</v>
      </c>
      <c r="D681" t="s">
        <v>1062</v>
      </c>
    </row>
    <row r="682" spans="1:4" x14ac:dyDescent="0.2">
      <c r="A682" t="s">
        <v>414</v>
      </c>
      <c r="B682" t="s">
        <v>424</v>
      </c>
      <c r="C682" t="s">
        <v>411</v>
      </c>
      <c r="D682" t="s">
        <v>1063</v>
      </c>
    </row>
    <row r="683" spans="1:4" x14ac:dyDescent="0.2">
      <c r="A683" t="s">
        <v>414</v>
      </c>
      <c r="B683" t="s">
        <v>424</v>
      </c>
      <c r="C683" t="s">
        <v>411</v>
      </c>
      <c r="D683" t="s">
        <v>1064</v>
      </c>
    </row>
    <row r="684" spans="1:4" x14ac:dyDescent="0.2">
      <c r="A684" t="s">
        <v>414</v>
      </c>
      <c r="B684" t="s">
        <v>424</v>
      </c>
      <c r="C684" t="s">
        <v>411</v>
      </c>
      <c r="D684" t="s">
        <v>1065</v>
      </c>
    </row>
    <row r="685" spans="1:4" x14ac:dyDescent="0.2">
      <c r="A685" t="s">
        <v>414</v>
      </c>
      <c r="B685" t="s">
        <v>424</v>
      </c>
      <c r="C685" t="s">
        <v>411</v>
      </c>
      <c r="D685" t="s">
        <v>1066</v>
      </c>
    </row>
    <row r="686" spans="1:4" x14ac:dyDescent="0.2">
      <c r="A686" t="s">
        <v>414</v>
      </c>
      <c r="B686" t="s">
        <v>424</v>
      </c>
      <c r="C686" t="s">
        <v>411</v>
      </c>
      <c r="D686" t="s">
        <v>1067</v>
      </c>
    </row>
    <row r="687" spans="1:4" x14ac:dyDescent="0.2">
      <c r="A687" t="s">
        <v>414</v>
      </c>
      <c r="B687" t="s">
        <v>424</v>
      </c>
      <c r="C687" t="s">
        <v>411</v>
      </c>
      <c r="D687" t="s">
        <v>1068</v>
      </c>
    </row>
    <row r="688" spans="1:4" x14ac:dyDescent="0.2">
      <c r="A688" t="s">
        <v>414</v>
      </c>
      <c r="B688" t="s">
        <v>424</v>
      </c>
      <c r="C688" t="s">
        <v>411</v>
      </c>
      <c r="D688" t="s">
        <v>1069</v>
      </c>
    </row>
    <row r="689" spans="1:4" x14ac:dyDescent="0.2">
      <c r="A689" t="s">
        <v>414</v>
      </c>
      <c r="B689" t="s">
        <v>424</v>
      </c>
      <c r="C689" t="s">
        <v>411</v>
      </c>
      <c r="D689" t="s">
        <v>1070</v>
      </c>
    </row>
    <row r="690" spans="1:4" x14ac:dyDescent="0.2">
      <c r="A690" t="s">
        <v>414</v>
      </c>
      <c r="B690" t="s">
        <v>424</v>
      </c>
      <c r="C690" t="s">
        <v>411</v>
      </c>
      <c r="D690" t="s">
        <v>1071</v>
      </c>
    </row>
    <row r="691" spans="1:4" x14ac:dyDescent="0.2">
      <c r="A691" t="s">
        <v>414</v>
      </c>
      <c r="B691" t="s">
        <v>424</v>
      </c>
      <c r="C691" t="s">
        <v>411</v>
      </c>
      <c r="D691" t="s">
        <v>1072</v>
      </c>
    </row>
    <row r="692" spans="1:4" x14ac:dyDescent="0.2">
      <c r="A692" t="s">
        <v>414</v>
      </c>
      <c r="B692" t="s">
        <v>424</v>
      </c>
      <c r="C692" t="s">
        <v>411</v>
      </c>
      <c r="D692" t="s">
        <v>1073</v>
      </c>
    </row>
    <row r="693" spans="1:4" x14ac:dyDescent="0.2">
      <c r="A693" t="s">
        <v>414</v>
      </c>
      <c r="B693" t="s">
        <v>424</v>
      </c>
      <c r="C693" t="s">
        <v>411</v>
      </c>
      <c r="D693" t="s">
        <v>1074</v>
      </c>
    </row>
    <row r="694" spans="1:4" x14ac:dyDescent="0.2">
      <c r="A694" t="s">
        <v>414</v>
      </c>
      <c r="B694" t="s">
        <v>424</v>
      </c>
      <c r="C694" t="s">
        <v>411</v>
      </c>
      <c r="D694" t="s">
        <v>1075</v>
      </c>
    </row>
    <row r="695" spans="1:4" x14ac:dyDescent="0.2">
      <c r="A695" t="s">
        <v>414</v>
      </c>
      <c r="B695" t="s">
        <v>424</v>
      </c>
      <c r="C695" t="s">
        <v>411</v>
      </c>
      <c r="D695" t="s">
        <v>1076</v>
      </c>
    </row>
    <row r="696" spans="1:4" x14ac:dyDescent="0.2">
      <c r="A696" t="s">
        <v>414</v>
      </c>
      <c r="B696" t="s">
        <v>424</v>
      </c>
      <c r="C696" t="s">
        <v>411</v>
      </c>
      <c r="D696" t="s">
        <v>1077</v>
      </c>
    </row>
    <row r="697" spans="1:4" x14ac:dyDescent="0.2">
      <c r="A697" t="s">
        <v>414</v>
      </c>
      <c r="B697" t="s">
        <v>424</v>
      </c>
      <c r="C697" t="s">
        <v>411</v>
      </c>
      <c r="D697" t="s">
        <v>1078</v>
      </c>
    </row>
    <row r="698" spans="1:4" x14ac:dyDescent="0.2">
      <c r="A698" t="s">
        <v>414</v>
      </c>
      <c r="B698" t="s">
        <v>424</v>
      </c>
      <c r="C698" t="s">
        <v>411</v>
      </c>
      <c r="D698" t="s">
        <v>1079</v>
      </c>
    </row>
    <row r="699" spans="1:4" x14ac:dyDescent="0.2">
      <c r="A699" t="s">
        <v>414</v>
      </c>
      <c r="B699" t="s">
        <v>424</v>
      </c>
      <c r="C699" t="s">
        <v>411</v>
      </c>
      <c r="D699" t="s">
        <v>1080</v>
      </c>
    </row>
    <row r="700" spans="1:4" x14ac:dyDescent="0.2">
      <c r="A700" t="s">
        <v>414</v>
      </c>
      <c r="B700" t="s">
        <v>424</v>
      </c>
      <c r="C700" t="s">
        <v>411</v>
      </c>
      <c r="D700" t="s">
        <v>1081</v>
      </c>
    </row>
    <row r="701" spans="1:4" x14ac:dyDescent="0.2">
      <c r="A701" t="s">
        <v>414</v>
      </c>
      <c r="B701" t="s">
        <v>424</v>
      </c>
      <c r="C701" t="s">
        <v>411</v>
      </c>
      <c r="D701" t="s">
        <v>1082</v>
      </c>
    </row>
    <row r="702" spans="1:4" x14ac:dyDescent="0.2">
      <c r="A702" t="s">
        <v>414</v>
      </c>
      <c r="B702" t="s">
        <v>424</v>
      </c>
      <c r="C702" t="s">
        <v>411</v>
      </c>
      <c r="D702" t="s">
        <v>1083</v>
      </c>
    </row>
    <row r="703" spans="1:4" x14ac:dyDescent="0.2">
      <c r="A703" t="s">
        <v>414</v>
      </c>
      <c r="B703" t="s">
        <v>424</v>
      </c>
      <c r="C703" t="s">
        <v>411</v>
      </c>
      <c r="D703" t="s">
        <v>1084</v>
      </c>
    </row>
    <row r="704" spans="1:4" x14ac:dyDescent="0.2">
      <c r="A704" t="s">
        <v>414</v>
      </c>
      <c r="B704" t="s">
        <v>424</v>
      </c>
      <c r="C704" t="s">
        <v>411</v>
      </c>
      <c r="D704" t="s">
        <v>1085</v>
      </c>
    </row>
    <row r="705" spans="1:4" x14ac:dyDescent="0.2">
      <c r="A705" t="s">
        <v>414</v>
      </c>
      <c r="B705" t="s">
        <v>424</v>
      </c>
      <c r="C705" t="s">
        <v>411</v>
      </c>
      <c r="D705" t="s">
        <v>1086</v>
      </c>
    </row>
    <row r="706" spans="1:4" x14ac:dyDescent="0.2">
      <c r="A706" t="s">
        <v>414</v>
      </c>
      <c r="B706" t="s">
        <v>424</v>
      </c>
      <c r="C706" t="s">
        <v>411</v>
      </c>
      <c r="D706" t="s">
        <v>1087</v>
      </c>
    </row>
    <row r="707" spans="1:4" x14ac:dyDescent="0.2">
      <c r="A707" t="s">
        <v>414</v>
      </c>
      <c r="B707" t="s">
        <v>424</v>
      </c>
      <c r="C707" t="s">
        <v>411</v>
      </c>
      <c r="D707" t="s">
        <v>1088</v>
      </c>
    </row>
    <row r="708" spans="1:4" x14ac:dyDescent="0.2">
      <c r="A708" t="s">
        <v>414</v>
      </c>
      <c r="B708" t="s">
        <v>424</v>
      </c>
      <c r="C708" t="s">
        <v>411</v>
      </c>
      <c r="D708" t="s">
        <v>1089</v>
      </c>
    </row>
    <row r="709" spans="1:4" x14ac:dyDescent="0.2">
      <c r="A709" t="s">
        <v>414</v>
      </c>
      <c r="B709" t="s">
        <v>424</v>
      </c>
      <c r="C709" t="s">
        <v>411</v>
      </c>
      <c r="D709" t="s">
        <v>1090</v>
      </c>
    </row>
    <row r="710" spans="1:4" x14ac:dyDescent="0.2">
      <c r="A710" t="s">
        <v>414</v>
      </c>
      <c r="B710" t="s">
        <v>424</v>
      </c>
      <c r="C710" t="s">
        <v>411</v>
      </c>
      <c r="D710" t="s">
        <v>1091</v>
      </c>
    </row>
    <row r="711" spans="1:4" x14ac:dyDescent="0.2">
      <c r="A711" t="s">
        <v>414</v>
      </c>
      <c r="B711" t="s">
        <v>424</v>
      </c>
      <c r="C711" t="s">
        <v>411</v>
      </c>
      <c r="D711" t="s">
        <v>1092</v>
      </c>
    </row>
    <row r="712" spans="1:4" x14ac:dyDescent="0.2">
      <c r="A712" t="s">
        <v>414</v>
      </c>
      <c r="B712" t="s">
        <v>424</v>
      </c>
      <c r="C712" t="s">
        <v>411</v>
      </c>
      <c r="D712" t="s">
        <v>1093</v>
      </c>
    </row>
    <row r="713" spans="1:4" x14ac:dyDescent="0.2">
      <c r="A713" t="s">
        <v>414</v>
      </c>
      <c r="B713" t="s">
        <v>424</v>
      </c>
      <c r="C713" t="s">
        <v>411</v>
      </c>
      <c r="D713" t="s">
        <v>1094</v>
      </c>
    </row>
    <row r="714" spans="1:4" x14ac:dyDescent="0.2">
      <c r="A714" t="s">
        <v>414</v>
      </c>
      <c r="B714" t="s">
        <v>424</v>
      </c>
      <c r="C714" t="s">
        <v>411</v>
      </c>
      <c r="D714" t="s">
        <v>1095</v>
      </c>
    </row>
    <row r="715" spans="1:4" x14ac:dyDescent="0.2">
      <c r="A715" t="s">
        <v>414</v>
      </c>
      <c r="B715" t="s">
        <v>424</v>
      </c>
      <c r="C715" t="s">
        <v>411</v>
      </c>
      <c r="D715" t="s">
        <v>1096</v>
      </c>
    </row>
    <row r="716" spans="1:4" x14ac:dyDescent="0.2">
      <c r="A716" t="s">
        <v>414</v>
      </c>
      <c r="B716" t="s">
        <v>424</v>
      </c>
      <c r="C716" t="s">
        <v>411</v>
      </c>
      <c r="D716" t="s">
        <v>1097</v>
      </c>
    </row>
    <row r="717" spans="1:4" x14ac:dyDescent="0.2">
      <c r="A717" t="s">
        <v>414</v>
      </c>
      <c r="B717" t="s">
        <v>424</v>
      </c>
      <c r="C717" t="s">
        <v>411</v>
      </c>
      <c r="D717" t="s">
        <v>1098</v>
      </c>
    </row>
    <row r="718" spans="1:4" x14ac:dyDescent="0.2">
      <c r="A718" t="s">
        <v>414</v>
      </c>
      <c r="B718" t="s">
        <v>424</v>
      </c>
      <c r="C718" t="s">
        <v>411</v>
      </c>
      <c r="D718" t="s">
        <v>1099</v>
      </c>
    </row>
    <row r="719" spans="1:4" x14ac:dyDescent="0.2">
      <c r="A719" t="s">
        <v>414</v>
      </c>
      <c r="B719" t="s">
        <v>424</v>
      </c>
      <c r="C719" t="s">
        <v>411</v>
      </c>
      <c r="D719" t="s">
        <v>1100</v>
      </c>
    </row>
    <row r="720" spans="1:4" x14ac:dyDescent="0.2">
      <c r="A720" t="s">
        <v>414</v>
      </c>
      <c r="B720" t="s">
        <v>424</v>
      </c>
      <c r="C720" t="s">
        <v>411</v>
      </c>
      <c r="D720" t="s">
        <v>1101</v>
      </c>
    </row>
    <row r="721" spans="1:4" x14ac:dyDescent="0.2">
      <c r="A721" t="s">
        <v>414</v>
      </c>
      <c r="B721" t="s">
        <v>424</v>
      </c>
      <c r="C721" t="s">
        <v>411</v>
      </c>
      <c r="D721" t="s">
        <v>1102</v>
      </c>
    </row>
    <row r="722" spans="1:4" x14ac:dyDescent="0.2">
      <c r="A722" t="s">
        <v>414</v>
      </c>
      <c r="B722" t="s">
        <v>424</v>
      </c>
      <c r="C722" t="s">
        <v>411</v>
      </c>
      <c r="D722" t="s">
        <v>1103</v>
      </c>
    </row>
    <row r="723" spans="1:4" x14ac:dyDescent="0.2">
      <c r="A723" t="s">
        <v>414</v>
      </c>
      <c r="B723" t="s">
        <v>424</v>
      </c>
      <c r="C723" t="s">
        <v>411</v>
      </c>
      <c r="D723" t="s">
        <v>1104</v>
      </c>
    </row>
    <row r="724" spans="1:4" x14ac:dyDescent="0.2">
      <c r="A724" t="s">
        <v>414</v>
      </c>
      <c r="B724" t="s">
        <v>424</v>
      </c>
      <c r="C724" t="s">
        <v>411</v>
      </c>
      <c r="D724" t="s">
        <v>1105</v>
      </c>
    </row>
    <row r="725" spans="1:4" x14ac:dyDescent="0.2">
      <c r="A725" t="s">
        <v>414</v>
      </c>
      <c r="B725" t="s">
        <v>424</v>
      </c>
      <c r="C725" t="s">
        <v>411</v>
      </c>
      <c r="D725" t="s">
        <v>1106</v>
      </c>
    </row>
    <row r="726" spans="1:4" x14ac:dyDescent="0.2">
      <c r="A726" t="s">
        <v>414</v>
      </c>
      <c r="B726" t="s">
        <v>424</v>
      </c>
      <c r="C726" t="s">
        <v>411</v>
      </c>
      <c r="D726" t="s">
        <v>1107</v>
      </c>
    </row>
    <row r="727" spans="1:4" x14ac:dyDescent="0.2">
      <c r="A727" t="s">
        <v>414</v>
      </c>
      <c r="B727" t="s">
        <v>424</v>
      </c>
      <c r="C727" t="s">
        <v>411</v>
      </c>
      <c r="D727" t="s">
        <v>1108</v>
      </c>
    </row>
    <row r="728" spans="1:4" x14ac:dyDescent="0.2">
      <c r="A728" t="s">
        <v>414</v>
      </c>
      <c r="B728" t="s">
        <v>424</v>
      </c>
      <c r="C728" t="s">
        <v>411</v>
      </c>
      <c r="D728" t="s">
        <v>1109</v>
      </c>
    </row>
    <row r="729" spans="1:4" x14ac:dyDescent="0.2">
      <c r="A729" t="s">
        <v>414</v>
      </c>
      <c r="B729" t="s">
        <v>424</v>
      </c>
      <c r="C729" t="s">
        <v>411</v>
      </c>
      <c r="D729" t="s">
        <v>1110</v>
      </c>
    </row>
    <row r="730" spans="1:4" x14ac:dyDescent="0.2">
      <c r="A730" t="s">
        <v>414</v>
      </c>
      <c r="B730" t="s">
        <v>424</v>
      </c>
      <c r="C730" t="s">
        <v>411</v>
      </c>
      <c r="D730" t="s">
        <v>1111</v>
      </c>
    </row>
    <row r="731" spans="1:4" x14ac:dyDescent="0.2">
      <c r="A731" t="s">
        <v>414</v>
      </c>
      <c r="B731" t="s">
        <v>424</v>
      </c>
      <c r="C731" t="s">
        <v>411</v>
      </c>
      <c r="D731" t="s">
        <v>1112</v>
      </c>
    </row>
    <row r="732" spans="1:4" x14ac:dyDescent="0.2">
      <c r="A732" t="s">
        <v>414</v>
      </c>
      <c r="B732" t="s">
        <v>424</v>
      </c>
      <c r="C732" t="s">
        <v>411</v>
      </c>
      <c r="D732" t="s">
        <v>1113</v>
      </c>
    </row>
    <row r="733" spans="1:4" x14ac:dyDescent="0.2">
      <c r="A733" t="s">
        <v>414</v>
      </c>
      <c r="B733" t="s">
        <v>424</v>
      </c>
      <c r="C733" t="s">
        <v>411</v>
      </c>
      <c r="D733" t="s">
        <v>232</v>
      </c>
    </row>
    <row r="734" spans="1:4" x14ac:dyDescent="0.2">
      <c r="A734" t="s">
        <v>414</v>
      </c>
      <c r="B734" t="s">
        <v>424</v>
      </c>
      <c r="C734" t="s">
        <v>411</v>
      </c>
      <c r="D734" t="s">
        <v>1114</v>
      </c>
    </row>
    <row r="735" spans="1:4" x14ac:dyDescent="0.2">
      <c r="A735" t="s">
        <v>414</v>
      </c>
      <c r="B735" t="s">
        <v>424</v>
      </c>
      <c r="C735" t="s">
        <v>411</v>
      </c>
      <c r="D735" t="s">
        <v>1115</v>
      </c>
    </row>
    <row r="736" spans="1:4" x14ac:dyDescent="0.2">
      <c r="A736" t="s">
        <v>414</v>
      </c>
      <c r="B736" t="s">
        <v>424</v>
      </c>
      <c r="C736" t="s">
        <v>411</v>
      </c>
      <c r="D736" t="s">
        <v>1116</v>
      </c>
    </row>
    <row r="737" spans="1:4" x14ac:dyDescent="0.2">
      <c r="A737" t="s">
        <v>414</v>
      </c>
      <c r="B737" t="s">
        <v>424</v>
      </c>
      <c r="C737" t="s">
        <v>411</v>
      </c>
      <c r="D737" t="s">
        <v>1117</v>
      </c>
    </row>
    <row r="738" spans="1:4" x14ac:dyDescent="0.2">
      <c r="A738" t="s">
        <v>414</v>
      </c>
      <c r="B738" t="s">
        <v>424</v>
      </c>
      <c r="C738" t="s">
        <v>411</v>
      </c>
      <c r="D738" t="s">
        <v>1118</v>
      </c>
    </row>
    <row r="739" spans="1:4" x14ac:dyDescent="0.2">
      <c r="A739" t="s">
        <v>414</v>
      </c>
      <c r="B739" t="s">
        <v>424</v>
      </c>
      <c r="C739" t="s">
        <v>411</v>
      </c>
      <c r="D739" t="s">
        <v>1119</v>
      </c>
    </row>
    <row r="740" spans="1:4" x14ac:dyDescent="0.2">
      <c r="A740" t="s">
        <v>414</v>
      </c>
      <c r="B740" t="s">
        <v>424</v>
      </c>
      <c r="C740" t="s">
        <v>411</v>
      </c>
      <c r="D740" t="s">
        <v>1120</v>
      </c>
    </row>
    <row r="741" spans="1:4" x14ac:dyDescent="0.2">
      <c r="A741" t="s">
        <v>414</v>
      </c>
      <c r="B741" t="s">
        <v>424</v>
      </c>
      <c r="C741" t="s">
        <v>411</v>
      </c>
      <c r="D741" t="s">
        <v>1121</v>
      </c>
    </row>
    <row r="742" spans="1:4" x14ac:dyDescent="0.2">
      <c r="A742" t="s">
        <v>414</v>
      </c>
      <c r="B742" t="s">
        <v>424</v>
      </c>
      <c r="C742" t="s">
        <v>411</v>
      </c>
      <c r="D742" t="s">
        <v>1122</v>
      </c>
    </row>
    <row r="743" spans="1:4" x14ac:dyDescent="0.2">
      <c r="A743" t="s">
        <v>414</v>
      </c>
      <c r="B743" t="s">
        <v>424</v>
      </c>
      <c r="C743" t="s">
        <v>411</v>
      </c>
      <c r="D743" t="s">
        <v>1123</v>
      </c>
    </row>
    <row r="744" spans="1:4" x14ac:dyDescent="0.2">
      <c r="A744" t="s">
        <v>414</v>
      </c>
      <c r="B744" t="s">
        <v>424</v>
      </c>
      <c r="C744" t="s">
        <v>411</v>
      </c>
      <c r="D744" t="s">
        <v>1124</v>
      </c>
    </row>
    <row r="745" spans="1:4" x14ac:dyDescent="0.2">
      <c r="A745" t="s">
        <v>414</v>
      </c>
      <c r="B745" t="s">
        <v>424</v>
      </c>
      <c r="C745" t="s">
        <v>411</v>
      </c>
      <c r="D745" t="s">
        <v>1125</v>
      </c>
    </row>
    <row r="746" spans="1:4" x14ac:dyDescent="0.2">
      <c r="A746" t="s">
        <v>414</v>
      </c>
      <c r="B746" t="s">
        <v>424</v>
      </c>
      <c r="C746" t="s">
        <v>411</v>
      </c>
      <c r="D746" t="s">
        <v>1126</v>
      </c>
    </row>
    <row r="747" spans="1:4" x14ac:dyDescent="0.2">
      <c r="A747" t="s">
        <v>414</v>
      </c>
      <c r="B747" t="s">
        <v>424</v>
      </c>
      <c r="C747" t="s">
        <v>411</v>
      </c>
      <c r="D747" t="s">
        <v>1127</v>
      </c>
    </row>
    <row r="748" spans="1:4" x14ac:dyDescent="0.2">
      <c r="A748" t="s">
        <v>414</v>
      </c>
      <c r="B748" t="s">
        <v>424</v>
      </c>
      <c r="C748" t="s">
        <v>411</v>
      </c>
      <c r="D748" t="s">
        <v>1128</v>
      </c>
    </row>
    <row r="749" spans="1:4" x14ac:dyDescent="0.2">
      <c r="A749" t="s">
        <v>414</v>
      </c>
      <c r="B749" t="s">
        <v>424</v>
      </c>
      <c r="C749" t="s">
        <v>411</v>
      </c>
      <c r="D749" t="s">
        <v>1129</v>
      </c>
    </row>
    <row r="750" spans="1:4" x14ac:dyDescent="0.2">
      <c r="A750" t="s">
        <v>414</v>
      </c>
      <c r="B750" t="s">
        <v>424</v>
      </c>
      <c r="C750" t="s">
        <v>411</v>
      </c>
      <c r="D750" t="s">
        <v>1130</v>
      </c>
    </row>
    <row r="751" spans="1:4" x14ac:dyDescent="0.2">
      <c r="A751" t="s">
        <v>414</v>
      </c>
      <c r="B751" t="s">
        <v>424</v>
      </c>
      <c r="C751" t="s">
        <v>411</v>
      </c>
      <c r="D751" t="s">
        <v>1131</v>
      </c>
    </row>
    <row r="752" spans="1:4" x14ac:dyDescent="0.2">
      <c r="A752" t="s">
        <v>414</v>
      </c>
      <c r="B752" t="s">
        <v>424</v>
      </c>
      <c r="C752" t="s">
        <v>411</v>
      </c>
      <c r="D752" t="s">
        <v>1132</v>
      </c>
    </row>
    <row r="753" spans="1:4" x14ac:dyDescent="0.2">
      <c r="A753" t="s">
        <v>414</v>
      </c>
      <c r="B753" t="s">
        <v>424</v>
      </c>
      <c r="C753" t="s">
        <v>411</v>
      </c>
      <c r="D753" t="s">
        <v>1133</v>
      </c>
    </row>
    <row r="754" spans="1:4" x14ac:dyDescent="0.2">
      <c r="A754" t="s">
        <v>414</v>
      </c>
      <c r="B754" t="s">
        <v>424</v>
      </c>
      <c r="C754" t="s">
        <v>411</v>
      </c>
      <c r="D754" t="s">
        <v>1134</v>
      </c>
    </row>
    <row r="755" spans="1:4" x14ac:dyDescent="0.2">
      <c r="A755" t="s">
        <v>414</v>
      </c>
      <c r="B755" t="s">
        <v>424</v>
      </c>
      <c r="C755" t="s">
        <v>411</v>
      </c>
      <c r="D755" t="s">
        <v>1135</v>
      </c>
    </row>
    <row r="756" spans="1:4" x14ac:dyDescent="0.2">
      <c r="A756" t="s">
        <v>414</v>
      </c>
      <c r="B756" t="s">
        <v>424</v>
      </c>
      <c r="C756" t="s">
        <v>411</v>
      </c>
      <c r="D756" t="s">
        <v>1136</v>
      </c>
    </row>
    <row r="757" spans="1:4" x14ac:dyDescent="0.2">
      <c r="A757" t="s">
        <v>414</v>
      </c>
      <c r="B757" t="s">
        <v>424</v>
      </c>
      <c r="C757" t="s">
        <v>411</v>
      </c>
      <c r="D757" t="s">
        <v>1137</v>
      </c>
    </row>
    <row r="758" spans="1:4" x14ac:dyDescent="0.2">
      <c r="A758" t="s">
        <v>414</v>
      </c>
      <c r="B758" t="s">
        <v>424</v>
      </c>
      <c r="C758" t="s">
        <v>411</v>
      </c>
      <c r="D758" t="s">
        <v>1138</v>
      </c>
    </row>
    <row r="759" spans="1:4" x14ac:dyDescent="0.2">
      <c r="A759" t="s">
        <v>414</v>
      </c>
      <c r="B759" t="s">
        <v>424</v>
      </c>
      <c r="C759" t="s">
        <v>411</v>
      </c>
      <c r="D759" t="s">
        <v>1139</v>
      </c>
    </row>
    <row r="760" spans="1:4" x14ac:dyDescent="0.2">
      <c r="A760" t="s">
        <v>414</v>
      </c>
      <c r="B760" t="s">
        <v>424</v>
      </c>
      <c r="C760" t="s">
        <v>411</v>
      </c>
      <c r="D760" t="s">
        <v>1140</v>
      </c>
    </row>
    <row r="761" spans="1:4" x14ac:dyDescent="0.2">
      <c r="A761" t="s">
        <v>414</v>
      </c>
      <c r="B761" t="s">
        <v>424</v>
      </c>
      <c r="C761" t="s">
        <v>411</v>
      </c>
      <c r="D761" t="s">
        <v>1141</v>
      </c>
    </row>
    <row r="762" spans="1:4" x14ac:dyDescent="0.2">
      <c r="A762" t="s">
        <v>414</v>
      </c>
      <c r="B762" t="s">
        <v>424</v>
      </c>
      <c r="C762" t="s">
        <v>411</v>
      </c>
      <c r="D762" t="s">
        <v>1142</v>
      </c>
    </row>
    <row r="763" spans="1:4" x14ac:dyDescent="0.2">
      <c r="A763" t="s">
        <v>414</v>
      </c>
      <c r="B763" t="s">
        <v>424</v>
      </c>
      <c r="C763" t="s">
        <v>411</v>
      </c>
      <c r="D763" t="s">
        <v>1143</v>
      </c>
    </row>
    <row r="764" spans="1:4" x14ac:dyDescent="0.2">
      <c r="A764" t="s">
        <v>414</v>
      </c>
      <c r="B764" t="s">
        <v>424</v>
      </c>
      <c r="C764" t="s">
        <v>411</v>
      </c>
      <c r="D764" t="s">
        <v>1144</v>
      </c>
    </row>
    <row r="765" spans="1:4" x14ac:dyDescent="0.2">
      <c r="A765" t="s">
        <v>414</v>
      </c>
      <c r="B765" t="s">
        <v>424</v>
      </c>
      <c r="C765" t="s">
        <v>411</v>
      </c>
      <c r="D765" t="s">
        <v>1145</v>
      </c>
    </row>
    <row r="766" spans="1:4" x14ac:dyDescent="0.2">
      <c r="A766" t="s">
        <v>414</v>
      </c>
      <c r="B766" t="s">
        <v>424</v>
      </c>
      <c r="C766" t="s">
        <v>411</v>
      </c>
      <c r="D766" t="s">
        <v>1146</v>
      </c>
    </row>
    <row r="767" spans="1:4" x14ac:dyDescent="0.2">
      <c r="A767" t="s">
        <v>414</v>
      </c>
      <c r="B767" t="s">
        <v>424</v>
      </c>
      <c r="C767" t="s">
        <v>411</v>
      </c>
      <c r="D767" t="s">
        <v>1147</v>
      </c>
    </row>
    <row r="768" spans="1:4" x14ac:dyDescent="0.2">
      <c r="A768" t="s">
        <v>414</v>
      </c>
      <c r="B768" t="s">
        <v>424</v>
      </c>
      <c r="C768" t="s">
        <v>411</v>
      </c>
      <c r="D768" t="s">
        <v>1148</v>
      </c>
    </row>
    <row r="769" spans="1:4" x14ac:dyDescent="0.2">
      <c r="A769" t="s">
        <v>414</v>
      </c>
      <c r="B769" t="s">
        <v>424</v>
      </c>
      <c r="C769" t="s">
        <v>411</v>
      </c>
      <c r="D769" t="s">
        <v>1149</v>
      </c>
    </row>
    <row r="770" spans="1:4" x14ac:dyDescent="0.2">
      <c r="A770" t="s">
        <v>414</v>
      </c>
      <c r="B770" t="s">
        <v>424</v>
      </c>
      <c r="C770" t="s">
        <v>411</v>
      </c>
      <c r="D770" t="s">
        <v>1150</v>
      </c>
    </row>
    <row r="771" spans="1:4" x14ac:dyDescent="0.2">
      <c r="A771" t="s">
        <v>414</v>
      </c>
      <c r="B771" t="s">
        <v>424</v>
      </c>
      <c r="C771" t="s">
        <v>411</v>
      </c>
      <c r="D771" t="s">
        <v>1151</v>
      </c>
    </row>
    <row r="772" spans="1:4" x14ac:dyDescent="0.2">
      <c r="A772" t="s">
        <v>414</v>
      </c>
      <c r="B772" t="s">
        <v>424</v>
      </c>
      <c r="C772" t="s">
        <v>411</v>
      </c>
      <c r="D772" t="s">
        <v>1152</v>
      </c>
    </row>
    <row r="773" spans="1:4" x14ac:dyDescent="0.2">
      <c r="A773" t="s">
        <v>414</v>
      </c>
      <c r="B773" t="s">
        <v>424</v>
      </c>
      <c r="C773" t="s">
        <v>411</v>
      </c>
      <c r="D773" t="s">
        <v>1153</v>
      </c>
    </row>
    <row r="774" spans="1:4" x14ac:dyDescent="0.2">
      <c r="A774" t="s">
        <v>414</v>
      </c>
      <c r="B774" t="s">
        <v>424</v>
      </c>
      <c r="C774" t="s">
        <v>411</v>
      </c>
      <c r="D774" t="s">
        <v>1154</v>
      </c>
    </row>
    <row r="775" spans="1:4" x14ac:dyDescent="0.2">
      <c r="A775" t="s">
        <v>414</v>
      </c>
      <c r="B775" t="s">
        <v>424</v>
      </c>
      <c r="C775" t="s">
        <v>411</v>
      </c>
      <c r="D775" t="s">
        <v>1155</v>
      </c>
    </row>
    <row r="776" spans="1:4" x14ac:dyDescent="0.2">
      <c r="A776" t="s">
        <v>414</v>
      </c>
      <c r="B776" t="s">
        <v>424</v>
      </c>
      <c r="C776" t="s">
        <v>411</v>
      </c>
      <c r="D776" t="s">
        <v>1156</v>
      </c>
    </row>
    <row r="777" spans="1:4" x14ac:dyDescent="0.2">
      <c r="A777" t="s">
        <v>414</v>
      </c>
      <c r="B777" t="s">
        <v>424</v>
      </c>
      <c r="C777" t="s">
        <v>411</v>
      </c>
      <c r="D777" t="s">
        <v>1157</v>
      </c>
    </row>
    <row r="778" spans="1:4" x14ac:dyDescent="0.2">
      <c r="A778" t="s">
        <v>414</v>
      </c>
      <c r="B778" t="s">
        <v>424</v>
      </c>
      <c r="C778" t="s">
        <v>411</v>
      </c>
      <c r="D778" t="s">
        <v>1158</v>
      </c>
    </row>
    <row r="779" spans="1:4" x14ac:dyDescent="0.2">
      <c r="A779" t="s">
        <v>414</v>
      </c>
      <c r="B779" t="s">
        <v>424</v>
      </c>
      <c r="C779" t="s">
        <v>411</v>
      </c>
      <c r="D779" t="s">
        <v>1159</v>
      </c>
    </row>
    <row r="780" spans="1:4" x14ac:dyDescent="0.2">
      <c r="A780" t="s">
        <v>414</v>
      </c>
      <c r="B780" t="s">
        <v>424</v>
      </c>
      <c r="C780" t="s">
        <v>411</v>
      </c>
      <c r="D780" t="s">
        <v>1160</v>
      </c>
    </row>
    <row r="781" spans="1:4" x14ac:dyDescent="0.2">
      <c r="A781" t="s">
        <v>414</v>
      </c>
      <c r="B781" t="s">
        <v>424</v>
      </c>
      <c r="C781" t="s">
        <v>411</v>
      </c>
      <c r="D781" t="s">
        <v>1161</v>
      </c>
    </row>
    <row r="782" spans="1:4" x14ac:dyDescent="0.2">
      <c r="A782" t="s">
        <v>414</v>
      </c>
      <c r="B782" t="s">
        <v>424</v>
      </c>
      <c r="C782" t="s">
        <v>411</v>
      </c>
      <c r="D782" t="s">
        <v>1162</v>
      </c>
    </row>
    <row r="783" spans="1:4" x14ac:dyDescent="0.2">
      <c r="A783" t="s">
        <v>414</v>
      </c>
      <c r="B783" t="s">
        <v>424</v>
      </c>
      <c r="C783" t="s">
        <v>411</v>
      </c>
      <c r="D783" t="s">
        <v>1163</v>
      </c>
    </row>
    <row r="784" spans="1:4" x14ac:dyDescent="0.2">
      <c r="A784" t="s">
        <v>414</v>
      </c>
      <c r="B784" t="s">
        <v>424</v>
      </c>
      <c r="C784" t="s">
        <v>411</v>
      </c>
      <c r="D784" t="s">
        <v>1164</v>
      </c>
    </row>
    <row r="785" spans="1:4" x14ac:dyDescent="0.2">
      <c r="A785" t="s">
        <v>414</v>
      </c>
      <c r="B785" t="s">
        <v>424</v>
      </c>
      <c r="C785" t="s">
        <v>411</v>
      </c>
      <c r="D785" t="s">
        <v>1165</v>
      </c>
    </row>
    <row r="786" spans="1:4" x14ac:dyDescent="0.2">
      <c r="A786" t="s">
        <v>414</v>
      </c>
      <c r="B786" t="s">
        <v>424</v>
      </c>
      <c r="C786" t="s">
        <v>411</v>
      </c>
      <c r="D786" t="s">
        <v>1166</v>
      </c>
    </row>
    <row r="787" spans="1:4" x14ac:dyDescent="0.2">
      <c r="A787" t="s">
        <v>414</v>
      </c>
      <c r="B787" t="s">
        <v>424</v>
      </c>
      <c r="C787" t="s">
        <v>411</v>
      </c>
      <c r="D787" t="s">
        <v>1167</v>
      </c>
    </row>
    <row r="788" spans="1:4" x14ac:dyDescent="0.2">
      <c r="A788" t="s">
        <v>414</v>
      </c>
      <c r="B788" t="s">
        <v>424</v>
      </c>
      <c r="C788" t="s">
        <v>411</v>
      </c>
      <c r="D788" t="s">
        <v>1168</v>
      </c>
    </row>
    <row r="789" spans="1:4" x14ac:dyDescent="0.2">
      <c r="A789" t="s">
        <v>414</v>
      </c>
      <c r="B789" t="s">
        <v>424</v>
      </c>
      <c r="C789" t="s">
        <v>411</v>
      </c>
      <c r="D789" t="s">
        <v>1169</v>
      </c>
    </row>
    <row r="790" spans="1:4" x14ac:dyDescent="0.2">
      <c r="A790" t="s">
        <v>414</v>
      </c>
      <c r="B790" t="s">
        <v>424</v>
      </c>
      <c r="C790" t="s">
        <v>411</v>
      </c>
      <c r="D790" t="s">
        <v>1170</v>
      </c>
    </row>
    <row r="791" spans="1:4" x14ac:dyDescent="0.2">
      <c r="A791" t="s">
        <v>414</v>
      </c>
      <c r="B791" t="s">
        <v>424</v>
      </c>
      <c r="C791" t="s">
        <v>412</v>
      </c>
      <c r="D791" t="s">
        <v>1171</v>
      </c>
    </row>
    <row r="792" spans="1:4" x14ac:dyDescent="0.2">
      <c r="A792" t="s">
        <v>414</v>
      </c>
      <c r="B792" t="s">
        <v>424</v>
      </c>
      <c r="C792" t="s">
        <v>412</v>
      </c>
      <c r="D792" t="s">
        <v>1172</v>
      </c>
    </row>
    <row r="793" spans="1:4" x14ac:dyDescent="0.2">
      <c r="A793" t="s">
        <v>414</v>
      </c>
      <c r="B793" t="s">
        <v>424</v>
      </c>
      <c r="C793" t="s">
        <v>412</v>
      </c>
      <c r="D793" t="s">
        <v>1173</v>
      </c>
    </row>
    <row r="794" spans="1:4" x14ac:dyDescent="0.2">
      <c r="A794" t="s">
        <v>414</v>
      </c>
      <c r="B794" t="s">
        <v>424</v>
      </c>
      <c r="C794" t="s">
        <v>412</v>
      </c>
      <c r="D794" t="s">
        <v>1174</v>
      </c>
    </row>
    <row r="795" spans="1:4" x14ac:dyDescent="0.2">
      <c r="A795" t="s">
        <v>414</v>
      </c>
      <c r="B795" t="s">
        <v>424</v>
      </c>
      <c r="C795" t="s">
        <v>412</v>
      </c>
      <c r="D795" t="s">
        <v>1175</v>
      </c>
    </row>
    <row r="796" spans="1:4" x14ac:dyDescent="0.2">
      <c r="A796" t="s">
        <v>414</v>
      </c>
      <c r="B796" t="s">
        <v>424</v>
      </c>
      <c r="C796" t="s">
        <v>412</v>
      </c>
      <c r="D796" t="s">
        <v>1176</v>
      </c>
    </row>
    <row r="797" spans="1:4" x14ac:dyDescent="0.2">
      <c r="A797" t="s">
        <v>414</v>
      </c>
      <c r="B797" t="s">
        <v>424</v>
      </c>
      <c r="C797" t="s">
        <v>412</v>
      </c>
      <c r="D797" t="s">
        <v>1177</v>
      </c>
    </row>
    <row r="798" spans="1:4" x14ac:dyDescent="0.2">
      <c r="A798" t="s">
        <v>414</v>
      </c>
      <c r="B798" t="s">
        <v>424</v>
      </c>
      <c r="C798" t="s">
        <v>412</v>
      </c>
      <c r="D798" t="s">
        <v>1178</v>
      </c>
    </row>
    <row r="799" spans="1:4" x14ac:dyDescent="0.2">
      <c r="A799" t="s">
        <v>414</v>
      </c>
      <c r="B799" t="s">
        <v>424</v>
      </c>
      <c r="C799" t="s">
        <v>412</v>
      </c>
      <c r="D799" t="s">
        <v>1179</v>
      </c>
    </row>
    <row r="800" spans="1:4" x14ac:dyDescent="0.2">
      <c r="A800" t="s">
        <v>414</v>
      </c>
      <c r="B800" t="s">
        <v>424</v>
      </c>
      <c r="C800" t="s">
        <v>412</v>
      </c>
      <c r="D800" t="s">
        <v>1180</v>
      </c>
    </row>
    <row r="801" spans="1:4" x14ac:dyDescent="0.2">
      <c r="A801" t="s">
        <v>414</v>
      </c>
      <c r="B801" t="s">
        <v>424</v>
      </c>
      <c r="C801" t="s">
        <v>412</v>
      </c>
      <c r="D801" t="s">
        <v>1181</v>
      </c>
    </row>
  </sheetData>
  <pageMargins left="0.7" right="0.7" top="0.75" bottom="0.75" header="0.3" footer="0.3"/>
  <customProperties>
    <customPr name="DVSECTION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33"/>
  <sheetViews>
    <sheetView workbookViewId="0">
      <selection activeCell="BS33" sqref="BS33"/>
    </sheetView>
  </sheetViews>
  <sheetFormatPr defaultRowHeight="12.75" x14ac:dyDescent="0.2"/>
  <sheetData>
    <row r="1" spans="1:256" x14ac:dyDescent="0.2">
      <c r="A1" t="e">
        <f>IF('Discovery-Processing-QC feature'!1:1,"AAAAAHeXfQA=",0)</f>
        <v>#VALUE!</v>
      </c>
      <c r="B1" t="e">
        <f>AND('Discovery-Processing-QC feature'!A1,"AAAAAHeXfQE=")</f>
        <v>#VALUE!</v>
      </c>
      <c r="C1" t="e">
        <f>AND('Discovery-Processing-QC feature'!B1,"AAAAAHeXfQI=")</f>
        <v>#VALUE!</v>
      </c>
      <c r="D1" t="e">
        <f>AND('Discovery-Processing-QC feature'!C1,"AAAAAHeXfQM=")</f>
        <v>#VALUE!</v>
      </c>
      <c r="E1" t="e">
        <f>AND('Discovery-Processing-QC feature'!D1,"AAAAAHeXfQQ=")</f>
        <v>#VALUE!</v>
      </c>
      <c r="F1" t="e">
        <f>AND('Discovery-Processing-QC feature'!E1,"AAAAAHeXfQU=")</f>
        <v>#VALUE!</v>
      </c>
      <c r="G1" t="e">
        <f>AND('Discovery-Processing-QC feature'!F1,"AAAAAHeXfQY=")</f>
        <v>#VALUE!</v>
      </c>
      <c r="H1">
        <f>IF('Discovery-Processing-QC feature'!2:2,"AAAAAHeXfQc=",0)</f>
        <v>0</v>
      </c>
      <c r="I1" t="e">
        <f>AND('Discovery-Processing-QC feature'!A2,"AAAAAHeXfQg=")</f>
        <v>#VALUE!</v>
      </c>
      <c r="J1" t="e">
        <f>AND('Discovery-Processing-QC feature'!B2,"AAAAAHeXfQk=")</f>
        <v>#VALUE!</v>
      </c>
      <c r="K1" t="e">
        <f>AND('Discovery-Processing-QC feature'!C2,"AAAAAHeXfQo=")</f>
        <v>#VALUE!</v>
      </c>
      <c r="L1" t="e">
        <f>AND('Discovery-Processing-QC feature'!D2,"AAAAAHeXfQs=")</f>
        <v>#VALUE!</v>
      </c>
      <c r="M1" t="e">
        <f>AND('Discovery-Processing-QC feature'!E2,"AAAAAHeXfQw=")</f>
        <v>#VALUE!</v>
      </c>
      <c r="N1" t="e">
        <f>AND('Discovery-Processing-QC feature'!F2,"AAAAAHeXfQ0=")</f>
        <v>#VALUE!</v>
      </c>
      <c r="O1">
        <f>IF('Discovery-Processing-QC feature'!3:3,"AAAAAHeXfQ4=",0)</f>
        <v>0</v>
      </c>
      <c r="P1" t="e">
        <f>AND('Discovery-Processing-QC feature'!A3,"AAAAAHeXfQ8=")</f>
        <v>#VALUE!</v>
      </c>
      <c r="Q1" t="e">
        <f>AND('Discovery-Processing-QC feature'!B3,"AAAAAHeXfRA=")</f>
        <v>#VALUE!</v>
      </c>
      <c r="R1" t="e">
        <f>AND('Discovery-Processing-QC feature'!C3,"AAAAAHeXfRE=")</f>
        <v>#VALUE!</v>
      </c>
      <c r="S1" t="e">
        <f>AND('Discovery-Processing-QC feature'!D3,"AAAAAHeXfRI=")</f>
        <v>#VALUE!</v>
      </c>
      <c r="T1" t="e">
        <f>AND('Discovery-Processing-QC feature'!E3,"AAAAAHeXfRM=")</f>
        <v>#VALUE!</v>
      </c>
      <c r="U1" t="e">
        <f>AND('Discovery-Processing-QC feature'!F3,"AAAAAHeXfRQ=")</f>
        <v>#VALUE!</v>
      </c>
      <c r="V1">
        <f>IF('Discovery-Processing-QC feature'!4:4,"AAAAAHeXfRU=",0)</f>
        <v>0</v>
      </c>
      <c r="W1" t="e">
        <f>AND('Discovery-Processing-QC feature'!A4,"AAAAAHeXfRY=")</f>
        <v>#VALUE!</v>
      </c>
      <c r="X1" t="e">
        <f>AND('Discovery-Processing-QC feature'!B4,"AAAAAHeXfRc=")</f>
        <v>#VALUE!</v>
      </c>
      <c r="Y1" t="e">
        <f>AND('Discovery-Processing-QC feature'!C4,"AAAAAHeXfRg=")</f>
        <v>#VALUE!</v>
      </c>
      <c r="Z1" t="e">
        <f>AND('Discovery-Processing-QC feature'!D4,"AAAAAHeXfRk=")</f>
        <v>#VALUE!</v>
      </c>
      <c r="AA1" t="e">
        <f>AND('Discovery-Processing-QC feature'!E4,"AAAAAHeXfRo=")</f>
        <v>#VALUE!</v>
      </c>
      <c r="AB1" t="e">
        <f>AND('Discovery-Processing-QC feature'!F4,"AAAAAHeXfRs=")</f>
        <v>#VALUE!</v>
      </c>
      <c r="AC1">
        <f>IF('Discovery-Processing-QC feature'!5:5,"AAAAAHeXfRw=",0)</f>
        <v>0</v>
      </c>
      <c r="AD1" t="e">
        <f>AND('Discovery-Processing-QC feature'!A5,"AAAAAHeXfR0=")</f>
        <v>#VALUE!</v>
      </c>
      <c r="AE1" t="e">
        <f>AND('Discovery-Processing-QC feature'!B5,"AAAAAHeXfR4=")</f>
        <v>#VALUE!</v>
      </c>
      <c r="AF1" t="e">
        <f>AND('Discovery-Processing-QC feature'!C5,"AAAAAHeXfR8=")</f>
        <v>#VALUE!</v>
      </c>
      <c r="AG1" t="e">
        <f>AND('Discovery-Processing-QC feature'!D5,"AAAAAHeXfSA=")</f>
        <v>#VALUE!</v>
      </c>
      <c r="AH1" t="e">
        <f>AND('Discovery-Processing-QC feature'!E5,"AAAAAHeXfSE=")</f>
        <v>#VALUE!</v>
      </c>
      <c r="AI1" t="e">
        <f>AND('Discovery-Processing-QC feature'!F5,"AAAAAHeXfSI=")</f>
        <v>#VALUE!</v>
      </c>
      <c r="AJ1">
        <f>IF('Discovery-Processing-QC feature'!6:6,"AAAAAHeXfSM=",0)</f>
        <v>0</v>
      </c>
      <c r="AK1" t="e">
        <f>AND('Discovery-Processing-QC feature'!A6,"AAAAAHeXfSQ=")</f>
        <v>#VALUE!</v>
      </c>
      <c r="AL1" t="e">
        <f>AND('Discovery-Processing-QC feature'!B6,"AAAAAHeXfSU=")</f>
        <v>#VALUE!</v>
      </c>
      <c r="AM1" t="e">
        <f>AND('Discovery-Processing-QC feature'!C6,"AAAAAHeXfSY=")</f>
        <v>#VALUE!</v>
      </c>
      <c r="AN1" t="e">
        <f>AND('Discovery-Processing-QC feature'!D6,"AAAAAHeXfSc=")</f>
        <v>#VALUE!</v>
      </c>
      <c r="AO1" t="e">
        <f>AND('Discovery-Processing-QC feature'!E6,"AAAAAHeXfSg=")</f>
        <v>#VALUE!</v>
      </c>
      <c r="AP1" t="e">
        <f>AND('Discovery-Processing-QC feature'!F6,"AAAAAHeXfSk=")</f>
        <v>#VALUE!</v>
      </c>
      <c r="AQ1">
        <f>IF('Discovery-Processing-QC feature'!7:7,"AAAAAHeXfSo=",0)</f>
        <v>0</v>
      </c>
      <c r="AR1" t="e">
        <f>AND('Discovery-Processing-QC feature'!A7,"AAAAAHeXfSs=")</f>
        <v>#VALUE!</v>
      </c>
      <c r="AS1" t="e">
        <f>AND('Discovery-Processing-QC feature'!B7,"AAAAAHeXfSw=")</f>
        <v>#VALUE!</v>
      </c>
      <c r="AT1" t="e">
        <f>AND('Discovery-Processing-QC feature'!C7,"AAAAAHeXfS0=")</f>
        <v>#VALUE!</v>
      </c>
      <c r="AU1" t="e">
        <f>AND('Discovery-Processing-QC feature'!D7,"AAAAAHeXfS4=")</f>
        <v>#VALUE!</v>
      </c>
      <c r="AV1" t="e">
        <f>AND('Discovery-Processing-QC feature'!E7,"AAAAAHeXfS8=")</f>
        <v>#VALUE!</v>
      </c>
      <c r="AW1" t="e">
        <f>AND('Discovery-Processing-QC feature'!F7,"AAAAAHeXfTA=")</f>
        <v>#VALUE!</v>
      </c>
      <c r="AX1">
        <f>IF('Discovery-Processing-QC feature'!8:8,"AAAAAHeXfTE=",0)</f>
        <v>0</v>
      </c>
      <c r="AY1" t="e">
        <f>AND('Discovery-Processing-QC feature'!A8,"AAAAAHeXfTI=")</f>
        <v>#VALUE!</v>
      </c>
      <c r="AZ1" t="e">
        <f>AND('Discovery-Processing-QC feature'!B8,"AAAAAHeXfTM=")</f>
        <v>#VALUE!</v>
      </c>
      <c r="BA1" t="e">
        <f>AND('Discovery-Processing-QC feature'!C8,"AAAAAHeXfTQ=")</f>
        <v>#VALUE!</v>
      </c>
      <c r="BB1" t="e">
        <f>AND('Discovery-Processing-QC feature'!D8,"AAAAAHeXfTU=")</f>
        <v>#VALUE!</v>
      </c>
      <c r="BC1" t="e">
        <f>AND('Discovery-Processing-QC feature'!E8,"AAAAAHeXfTY=")</f>
        <v>#VALUE!</v>
      </c>
      <c r="BD1" t="e">
        <f>AND('Discovery-Processing-QC feature'!F8,"AAAAAHeXfTc=")</f>
        <v>#VALUE!</v>
      </c>
      <c r="BE1">
        <f>IF('Discovery-Processing-QC feature'!9:9,"AAAAAHeXfTg=",0)</f>
        <v>0</v>
      </c>
      <c r="BF1" t="e">
        <f>AND('Discovery-Processing-QC feature'!A9,"AAAAAHeXfTk=")</f>
        <v>#VALUE!</v>
      </c>
      <c r="BG1" t="e">
        <f>AND('Discovery-Processing-QC feature'!B9,"AAAAAHeXfTo=")</f>
        <v>#VALUE!</v>
      </c>
      <c r="BH1" t="e">
        <f>AND('Discovery-Processing-QC feature'!C9,"AAAAAHeXfTs=")</f>
        <v>#VALUE!</v>
      </c>
      <c r="BI1" t="e">
        <f>AND('Discovery-Processing-QC feature'!D9,"AAAAAHeXfTw=")</f>
        <v>#VALUE!</v>
      </c>
      <c r="BJ1" t="e">
        <f>AND('Discovery-Processing-QC feature'!E9,"AAAAAHeXfT0=")</f>
        <v>#VALUE!</v>
      </c>
      <c r="BK1" t="e">
        <f>AND('Discovery-Processing-QC feature'!F9,"AAAAAHeXfT4=")</f>
        <v>#VALUE!</v>
      </c>
      <c r="BL1">
        <f>IF('Discovery-Processing-QC feature'!10:10,"AAAAAHeXfT8=",0)</f>
        <v>0</v>
      </c>
      <c r="BM1" t="e">
        <f>AND('Discovery-Processing-QC feature'!A10,"AAAAAHeXfUA=")</f>
        <v>#VALUE!</v>
      </c>
      <c r="BN1" t="e">
        <f>AND('Discovery-Processing-QC feature'!B10,"AAAAAHeXfUE=")</f>
        <v>#VALUE!</v>
      </c>
      <c r="BO1" t="e">
        <f>AND('Discovery-Processing-QC feature'!C10,"AAAAAHeXfUI=")</f>
        <v>#VALUE!</v>
      </c>
      <c r="BP1" t="e">
        <f>AND('Discovery-Processing-QC feature'!D10,"AAAAAHeXfUM=")</f>
        <v>#VALUE!</v>
      </c>
      <c r="BQ1" t="e">
        <f>AND('Discovery-Processing-QC feature'!E10,"AAAAAHeXfUQ=")</f>
        <v>#VALUE!</v>
      </c>
      <c r="BR1" t="e">
        <f>AND('Discovery-Processing-QC feature'!F10,"AAAAAHeXfUU=")</f>
        <v>#VALUE!</v>
      </c>
      <c r="BS1">
        <f>IF('Discovery-Processing-QC feature'!11:11,"AAAAAHeXfUY=",0)</f>
        <v>0</v>
      </c>
      <c r="BT1" t="e">
        <f>AND('Discovery-Processing-QC feature'!A11,"AAAAAHeXfUc=")</f>
        <v>#VALUE!</v>
      </c>
      <c r="BU1" t="e">
        <f>AND('Discovery-Processing-QC feature'!B11,"AAAAAHeXfUg=")</f>
        <v>#VALUE!</v>
      </c>
      <c r="BV1" t="e">
        <f>AND('Discovery-Processing-QC feature'!C11,"AAAAAHeXfUk=")</f>
        <v>#VALUE!</v>
      </c>
      <c r="BW1" t="e">
        <f>AND('Discovery-Processing-QC feature'!D11,"AAAAAHeXfUo=")</f>
        <v>#VALUE!</v>
      </c>
      <c r="BX1" t="e">
        <f>AND('Discovery-Processing-QC feature'!E11,"AAAAAHeXfUs=")</f>
        <v>#VALUE!</v>
      </c>
      <c r="BY1" t="e">
        <f>AND('Discovery-Processing-QC feature'!F11,"AAAAAHeXfUw=")</f>
        <v>#VALUE!</v>
      </c>
      <c r="BZ1">
        <f>IF('Discovery-Processing-QC feature'!12:12,"AAAAAHeXfU0=",0)</f>
        <v>0</v>
      </c>
      <c r="CA1" t="e">
        <f>AND('Discovery-Processing-QC feature'!A12,"AAAAAHeXfU4=")</f>
        <v>#VALUE!</v>
      </c>
      <c r="CB1" t="e">
        <f>AND('Discovery-Processing-QC feature'!B12,"AAAAAHeXfU8=")</f>
        <v>#VALUE!</v>
      </c>
      <c r="CC1" t="e">
        <f>AND('Discovery-Processing-QC feature'!C12,"AAAAAHeXfVA=")</f>
        <v>#VALUE!</v>
      </c>
      <c r="CD1" t="e">
        <f>AND('Discovery-Processing-QC feature'!D12,"AAAAAHeXfVE=")</f>
        <v>#VALUE!</v>
      </c>
      <c r="CE1" t="e">
        <f>AND('Discovery-Processing-QC feature'!E12,"AAAAAHeXfVI=")</f>
        <v>#VALUE!</v>
      </c>
      <c r="CF1" t="e">
        <f>AND('Discovery-Processing-QC feature'!F12,"AAAAAHeXfVM=")</f>
        <v>#VALUE!</v>
      </c>
      <c r="CG1">
        <f>IF('Discovery-Processing-QC feature'!13:13,"AAAAAHeXfVQ=",0)</f>
        <v>0</v>
      </c>
      <c r="CH1" t="e">
        <f>AND('Discovery-Processing-QC feature'!A13,"AAAAAHeXfVU=")</f>
        <v>#VALUE!</v>
      </c>
      <c r="CI1" t="e">
        <f>AND('Discovery-Processing-QC feature'!B13,"AAAAAHeXfVY=")</f>
        <v>#VALUE!</v>
      </c>
      <c r="CJ1" t="e">
        <f>AND('Discovery-Processing-QC feature'!C13,"AAAAAHeXfVc=")</f>
        <v>#VALUE!</v>
      </c>
      <c r="CK1" t="e">
        <f>AND('Discovery-Processing-QC feature'!D13,"AAAAAHeXfVg=")</f>
        <v>#VALUE!</v>
      </c>
      <c r="CL1" t="e">
        <f>AND('Discovery-Processing-QC feature'!E13,"AAAAAHeXfVk=")</f>
        <v>#VALUE!</v>
      </c>
      <c r="CM1" t="e">
        <f>AND('Discovery-Processing-QC feature'!F13,"AAAAAHeXfVo=")</f>
        <v>#VALUE!</v>
      </c>
      <c r="CN1">
        <f>IF('Discovery-Processing-QC feature'!14:14,"AAAAAHeXfVs=",0)</f>
        <v>0</v>
      </c>
      <c r="CO1" t="e">
        <f>AND('Discovery-Processing-QC feature'!A14,"AAAAAHeXfVw=")</f>
        <v>#VALUE!</v>
      </c>
      <c r="CP1" t="e">
        <f>AND('Discovery-Processing-QC feature'!B14,"AAAAAHeXfV0=")</f>
        <v>#VALUE!</v>
      </c>
      <c r="CQ1" t="e">
        <f>AND('Discovery-Processing-QC feature'!C14,"AAAAAHeXfV4=")</f>
        <v>#VALUE!</v>
      </c>
      <c r="CR1" t="e">
        <f>AND('Discovery-Processing-QC feature'!D14,"AAAAAHeXfV8=")</f>
        <v>#VALUE!</v>
      </c>
      <c r="CS1" t="e">
        <f>AND('Discovery-Processing-QC feature'!E14,"AAAAAHeXfWA=")</f>
        <v>#VALUE!</v>
      </c>
      <c r="CT1" t="e">
        <f>AND('Discovery-Processing-QC feature'!F14,"AAAAAHeXfWE=")</f>
        <v>#VALUE!</v>
      </c>
      <c r="CU1">
        <f>IF('Discovery-Processing-QC feature'!15:15,"AAAAAHeXfWI=",0)</f>
        <v>0</v>
      </c>
      <c r="CV1" t="e">
        <f>AND('Discovery-Processing-QC feature'!A15,"AAAAAHeXfWM=")</f>
        <v>#VALUE!</v>
      </c>
      <c r="CW1" t="e">
        <f>AND('Discovery-Processing-QC feature'!B15,"AAAAAHeXfWQ=")</f>
        <v>#VALUE!</v>
      </c>
      <c r="CX1" t="e">
        <f>AND('Discovery-Processing-QC feature'!C15,"AAAAAHeXfWU=")</f>
        <v>#VALUE!</v>
      </c>
      <c r="CY1" t="e">
        <f>AND('Discovery-Processing-QC feature'!D15,"AAAAAHeXfWY=")</f>
        <v>#VALUE!</v>
      </c>
      <c r="CZ1" t="e">
        <f>AND('Discovery-Processing-QC feature'!E15,"AAAAAHeXfWc=")</f>
        <v>#VALUE!</v>
      </c>
      <c r="DA1" t="e">
        <f>AND('Discovery-Processing-QC feature'!F15,"AAAAAHeXfWg=")</f>
        <v>#VALUE!</v>
      </c>
      <c r="DB1">
        <f>IF('Discovery-Processing-QC feature'!16:16,"AAAAAHeXfWk=",0)</f>
        <v>0</v>
      </c>
      <c r="DC1" t="e">
        <f>AND('Discovery-Processing-QC feature'!A16,"AAAAAHeXfWo=")</f>
        <v>#VALUE!</v>
      </c>
      <c r="DD1" t="e">
        <f>AND('Discovery-Processing-QC feature'!B16,"AAAAAHeXfWs=")</f>
        <v>#VALUE!</v>
      </c>
      <c r="DE1" t="e">
        <f>AND('Discovery-Processing-QC feature'!C16,"AAAAAHeXfWw=")</f>
        <v>#VALUE!</v>
      </c>
      <c r="DF1" t="e">
        <f>AND('Discovery-Processing-QC feature'!D16,"AAAAAHeXfW0=")</f>
        <v>#VALUE!</v>
      </c>
      <c r="DG1" t="e">
        <f>AND('Discovery-Processing-QC feature'!E16,"AAAAAHeXfW4=")</f>
        <v>#VALUE!</v>
      </c>
      <c r="DH1" t="e">
        <f>AND('Discovery-Processing-QC feature'!F16,"AAAAAHeXfW8=")</f>
        <v>#VALUE!</v>
      </c>
      <c r="DI1">
        <f>IF('Discovery-Processing-QC feature'!17:17,"AAAAAHeXfXA=",0)</f>
        <v>0</v>
      </c>
      <c r="DJ1" t="e">
        <f>AND('Discovery-Processing-QC feature'!A17,"AAAAAHeXfXE=")</f>
        <v>#VALUE!</v>
      </c>
      <c r="DK1" t="e">
        <f>AND('Discovery-Processing-QC feature'!B17,"AAAAAHeXfXI=")</f>
        <v>#VALUE!</v>
      </c>
      <c r="DL1" t="e">
        <f>AND('Discovery-Processing-QC feature'!C17,"AAAAAHeXfXM=")</f>
        <v>#VALUE!</v>
      </c>
      <c r="DM1" t="e">
        <f>AND('Discovery-Processing-QC feature'!D17,"AAAAAHeXfXQ=")</f>
        <v>#VALUE!</v>
      </c>
      <c r="DN1" t="e">
        <f>AND('Discovery-Processing-QC feature'!E17,"AAAAAHeXfXU=")</f>
        <v>#VALUE!</v>
      </c>
      <c r="DO1" t="e">
        <f>AND('Discovery-Processing-QC feature'!F17,"AAAAAHeXfXY=")</f>
        <v>#VALUE!</v>
      </c>
      <c r="DP1">
        <f>IF('Discovery-Processing-QC feature'!18:18,"AAAAAHeXfXc=",0)</f>
        <v>0</v>
      </c>
      <c r="DQ1" t="e">
        <f>AND('Discovery-Processing-QC feature'!A18,"AAAAAHeXfXg=")</f>
        <v>#VALUE!</v>
      </c>
      <c r="DR1" t="e">
        <f>AND('Discovery-Processing-QC feature'!B18,"AAAAAHeXfXk=")</f>
        <v>#VALUE!</v>
      </c>
      <c r="DS1" t="e">
        <f>AND('Discovery-Processing-QC feature'!C18,"AAAAAHeXfXo=")</f>
        <v>#VALUE!</v>
      </c>
      <c r="DT1" t="e">
        <f>AND('Discovery-Processing-QC feature'!D18,"AAAAAHeXfXs=")</f>
        <v>#VALUE!</v>
      </c>
      <c r="DU1" t="e">
        <f>AND('Discovery-Processing-QC feature'!E18,"AAAAAHeXfXw=")</f>
        <v>#VALUE!</v>
      </c>
      <c r="DV1" t="e">
        <f>AND('Discovery-Processing-QC feature'!F18,"AAAAAHeXfX0=")</f>
        <v>#VALUE!</v>
      </c>
      <c r="DW1">
        <f>IF('Discovery-Processing-QC feature'!19:19,"AAAAAHeXfX4=",0)</f>
        <v>0</v>
      </c>
      <c r="DX1" t="e">
        <f>AND('Discovery-Processing-QC feature'!A19,"AAAAAHeXfX8=")</f>
        <v>#VALUE!</v>
      </c>
      <c r="DY1" t="e">
        <f>AND('Discovery-Processing-QC feature'!B19,"AAAAAHeXfYA=")</f>
        <v>#VALUE!</v>
      </c>
      <c r="DZ1" t="e">
        <f>AND('Discovery-Processing-QC feature'!C19,"AAAAAHeXfYE=")</f>
        <v>#VALUE!</v>
      </c>
      <c r="EA1" t="e">
        <f>AND('Discovery-Processing-QC feature'!D19,"AAAAAHeXfYI=")</f>
        <v>#VALUE!</v>
      </c>
      <c r="EB1" t="e">
        <f>AND('Discovery-Processing-QC feature'!E19,"AAAAAHeXfYM=")</f>
        <v>#VALUE!</v>
      </c>
      <c r="EC1" t="e">
        <f>AND('Discovery-Processing-QC feature'!F19,"AAAAAHeXfYQ=")</f>
        <v>#VALUE!</v>
      </c>
      <c r="ED1">
        <f>IF('Discovery-Processing-QC feature'!20:20,"AAAAAHeXfYU=",0)</f>
        <v>0</v>
      </c>
      <c r="EE1" t="e">
        <f>AND('Discovery-Processing-QC feature'!A20,"AAAAAHeXfYY=")</f>
        <v>#VALUE!</v>
      </c>
      <c r="EF1" t="e">
        <f>AND('Discovery-Processing-QC feature'!B20,"AAAAAHeXfYc=")</f>
        <v>#VALUE!</v>
      </c>
      <c r="EG1" t="e">
        <f>AND('Discovery-Processing-QC feature'!C20,"AAAAAHeXfYg=")</f>
        <v>#VALUE!</v>
      </c>
      <c r="EH1" t="e">
        <f>AND('Discovery-Processing-QC feature'!D20,"AAAAAHeXfYk=")</f>
        <v>#VALUE!</v>
      </c>
      <c r="EI1" t="e">
        <f>AND('Discovery-Processing-QC feature'!E20,"AAAAAHeXfYo=")</f>
        <v>#VALUE!</v>
      </c>
      <c r="EJ1" t="e">
        <f>AND('Discovery-Processing-QC feature'!F20,"AAAAAHeXfYs=")</f>
        <v>#VALUE!</v>
      </c>
      <c r="EK1">
        <f>IF('Discovery-Processing-QC feature'!21:21,"AAAAAHeXfYw=",0)</f>
        <v>0</v>
      </c>
      <c r="EL1" t="e">
        <f>AND('Discovery-Processing-QC feature'!A21,"AAAAAHeXfY0=")</f>
        <v>#VALUE!</v>
      </c>
      <c r="EM1" t="e">
        <f>AND('Discovery-Processing-QC feature'!B21,"AAAAAHeXfY4=")</f>
        <v>#VALUE!</v>
      </c>
      <c r="EN1" t="e">
        <f>AND('Discovery-Processing-QC feature'!C21,"AAAAAHeXfY8=")</f>
        <v>#VALUE!</v>
      </c>
      <c r="EO1" t="e">
        <f>AND('Discovery-Processing-QC feature'!D21,"AAAAAHeXfZA=")</f>
        <v>#VALUE!</v>
      </c>
      <c r="EP1" t="e">
        <f>AND('Discovery-Processing-QC feature'!E21,"AAAAAHeXfZE=")</f>
        <v>#VALUE!</v>
      </c>
      <c r="EQ1" t="e">
        <f>AND('Discovery-Processing-QC feature'!F21,"AAAAAHeXfZI=")</f>
        <v>#VALUE!</v>
      </c>
      <c r="ER1">
        <f>IF('Discovery-Processing-QC feature'!22:22,"AAAAAHeXfZM=",0)</f>
        <v>0</v>
      </c>
      <c r="ES1" t="e">
        <f>AND('Discovery-Processing-QC feature'!A22,"AAAAAHeXfZQ=")</f>
        <v>#VALUE!</v>
      </c>
      <c r="ET1" t="e">
        <f>AND('Discovery-Processing-QC feature'!B22,"AAAAAHeXfZU=")</f>
        <v>#VALUE!</v>
      </c>
      <c r="EU1" t="e">
        <f>AND('Discovery-Processing-QC feature'!C22,"AAAAAHeXfZY=")</f>
        <v>#VALUE!</v>
      </c>
      <c r="EV1" t="e">
        <f>AND('Discovery-Processing-QC feature'!D22,"AAAAAHeXfZc=")</f>
        <v>#VALUE!</v>
      </c>
      <c r="EW1" t="e">
        <f>AND('Discovery-Processing-QC feature'!E22,"AAAAAHeXfZg=")</f>
        <v>#VALUE!</v>
      </c>
      <c r="EX1" t="e">
        <f>AND('Discovery-Processing-QC feature'!F22,"AAAAAHeXfZk=")</f>
        <v>#VALUE!</v>
      </c>
      <c r="EY1">
        <f>IF('Discovery-Processing-QC feature'!23:23,"AAAAAHeXfZo=",0)</f>
        <v>0</v>
      </c>
      <c r="EZ1" t="e">
        <f>AND('Discovery-Processing-QC feature'!A23,"AAAAAHeXfZs=")</f>
        <v>#VALUE!</v>
      </c>
      <c r="FA1" t="e">
        <f>AND('Discovery-Processing-QC feature'!B23,"AAAAAHeXfZw=")</f>
        <v>#VALUE!</v>
      </c>
      <c r="FB1" t="e">
        <f>AND('Discovery-Processing-QC feature'!C23,"AAAAAHeXfZ0=")</f>
        <v>#VALUE!</v>
      </c>
      <c r="FC1" t="e">
        <f>AND('Discovery-Processing-QC feature'!D23,"AAAAAHeXfZ4=")</f>
        <v>#VALUE!</v>
      </c>
      <c r="FD1" t="e">
        <f>AND('Discovery-Processing-QC feature'!E23,"AAAAAHeXfZ8=")</f>
        <v>#VALUE!</v>
      </c>
      <c r="FE1" t="e">
        <f>AND('Discovery-Processing-QC feature'!F23,"AAAAAHeXfaA=")</f>
        <v>#VALUE!</v>
      </c>
      <c r="FF1">
        <f>IF('Discovery-Processing-QC feature'!24:24,"AAAAAHeXfaE=",0)</f>
        <v>0</v>
      </c>
      <c r="FG1" t="e">
        <f>AND('Discovery-Processing-QC feature'!A24,"AAAAAHeXfaI=")</f>
        <v>#VALUE!</v>
      </c>
      <c r="FH1" t="e">
        <f>AND('Discovery-Processing-QC feature'!B24,"AAAAAHeXfaM=")</f>
        <v>#VALUE!</v>
      </c>
      <c r="FI1" t="e">
        <f>AND('Discovery-Processing-QC feature'!C24,"AAAAAHeXfaQ=")</f>
        <v>#VALUE!</v>
      </c>
      <c r="FJ1" t="e">
        <f>AND('Discovery-Processing-QC feature'!D24,"AAAAAHeXfaU=")</f>
        <v>#VALUE!</v>
      </c>
      <c r="FK1" t="e">
        <f>AND('Discovery-Processing-QC feature'!E24,"AAAAAHeXfaY=")</f>
        <v>#VALUE!</v>
      </c>
      <c r="FL1" t="e">
        <f>AND('Discovery-Processing-QC feature'!F24,"AAAAAHeXfac=")</f>
        <v>#VALUE!</v>
      </c>
      <c r="FM1">
        <f>IF('Discovery-Processing-QC feature'!25:25,"AAAAAHeXfag=",0)</f>
        <v>0</v>
      </c>
      <c r="FN1" t="e">
        <f>AND('Discovery-Processing-QC feature'!A25,"AAAAAHeXfak=")</f>
        <v>#VALUE!</v>
      </c>
      <c r="FO1" t="e">
        <f>AND('Discovery-Processing-QC feature'!B25,"AAAAAHeXfao=")</f>
        <v>#VALUE!</v>
      </c>
      <c r="FP1" t="e">
        <f>AND('Discovery-Processing-QC feature'!C25,"AAAAAHeXfas=")</f>
        <v>#VALUE!</v>
      </c>
      <c r="FQ1" t="e">
        <f>AND('Discovery-Processing-QC feature'!D25,"AAAAAHeXfaw=")</f>
        <v>#VALUE!</v>
      </c>
      <c r="FR1" t="e">
        <f>AND('Discovery-Processing-QC feature'!E25,"AAAAAHeXfa0=")</f>
        <v>#VALUE!</v>
      </c>
      <c r="FS1" t="e">
        <f>AND('Discovery-Processing-QC feature'!F25,"AAAAAHeXfa4=")</f>
        <v>#VALUE!</v>
      </c>
      <c r="FT1">
        <f>IF('Discovery-Processing-QC feature'!26:26,"AAAAAHeXfa8=",0)</f>
        <v>0</v>
      </c>
      <c r="FU1" t="e">
        <f>AND('Discovery-Processing-QC feature'!A26,"AAAAAHeXfbA=")</f>
        <v>#VALUE!</v>
      </c>
      <c r="FV1" t="e">
        <f>AND('Discovery-Processing-QC feature'!B26,"AAAAAHeXfbE=")</f>
        <v>#VALUE!</v>
      </c>
      <c r="FW1" t="e">
        <f>AND('Discovery-Processing-QC feature'!C26,"AAAAAHeXfbI=")</f>
        <v>#VALUE!</v>
      </c>
      <c r="FX1" t="e">
        <f>AND('Discovery-Processing-QC feature'!D26,"AAAAAHeXfbM=")</f>
        <v>#VALUE!</v>
      </c>
      <c r="FY1" t="e">
        <f>AND('Discovery-Processing-QC feature'!E26,"AAAAAHeXfbQ=")</f>
        <v>#VALUE!</v>
      </c>
      <c r="FZ1" t="e">
        <f>AND('Discovery-Processing-QC feature'!F26,"AAAAAHeXfbU=")</f>
        <v>#VALUE!</v>
      </c>
      <c r="GA1">
        <f>IF('Discovery-Processing-QC feature'!27:27,"AAAAAHeXfbY=",0)</f>
        <v>0</v>
      </c>
      <c r="GB1" t="e">
        <f>AND('Discovery-Processing-QC feature'!A27,"AAAAAHeXfbc=")</f>
        <v>#VALUE!</v>
      </c>
      <c r="GC1" t="e">
        <f>AND('Discovery-Processing-QC feature'!B27,"AAAAAHeXfbg=")</f>
        <v>#VALUE!</v>
      </c>
      <c r="GD1" t="e">
        <f>AND('Discovery-Processing-QC feature'!C27,"AAAAAHeXfbk=")</f>
        <v>#VALUE!</v>
      </c>
      <c r="GE1" t="e">
        <f>AND('Discovery-Processing-QC feature'!D27,"AAAAAHeXfbo=")</f>
        <v>#VALUE!</v>
      </c>
      <c r="GF1" t="e">
        <f>AND('Discovery-Processing-QC feature'!E27,"AAAAAHeXfbs=")</f>
        <v>#VALUE!</v>
      </c>
      <c r="GG1" t="e">
        <f>AND('Discovery-Processing-QC feature'!F27,"AAAAAHeXfbw=")</f>
        <v>#VALUE!</v>
      </c>
      <c r="GH1">
        <f>IF('Discovery-Processing-QC feature'!28:28,"AAAAAHeXfb0=",0)</f>
        <v>0</v>
      </c>
      <c r="GI1" t="e">
        <f>AND('Discovery-Processing-QC feature'!A28,"AAAAAHeXfb4=")</f>
        <v>#VALUE!</v>
      </c>
      <c r="GJ1" t="e">
        <f>AND('Discovery-Processing-QC feature'!B28,"AAAAAHeXfb8=")</f>
        <v>#VALUE!</v>
      </c>
      <c r="GK1" t="e">
        <f>AND('Discovery-Processing-QC feature'!C28,"AAAAAHeXfcA=")</f>
        <v>#VALUE!</v>
      </c>
      <c r="GL1" t="e">
        <f>AND('Discovery-Processing-QC feature'!D28,"AAAAAHeXfcE=")</f>
        <v>#VALUE!</v>
      </c>
      <c r="GM1" t="e">
        <f>AND('Discovery-Processing-QC feature'!E28,"AAAAAHeXfcI=")</f>
        <v>#VALUE!</v>
      </c>
      <c r="GN1" t="e">
        <f>AND('Discovery-Processing-QC feature'!F28,"AAAAAHeXfcM=")</f>
        <v>#VALUE!</v>
      </c>
      <c r="GO1">
        <f>IF('Discovery-Processing-QC feature'!29:29,"AAAAAHeXfcQ=",0)</f>
        <v>0</v>
      </c>
      <c r="GP1" t="e">
        <f>AND('Discovery-Processing-QC feature'!A29,"AAAAAHeXfcU=")</f>
        <v>#VALUE!</v>
      </c>
      <c r="GQ1" t="e">
        <f>AND('Discovery-Processing-QC feature'!B29,"AAAAAHeXfcY=")</f>
        <v>#VALUE!</v>
      </c>
      <c r="GR1" t="e">
        <f>AND('Discovery-Processing-QC feature'!C29,"AAAAAHeXfcc=")</f>
        <v>#VALUE!</v>
      </c>
      <c r="GS1" t="e">
        <f>AND('Discovery-Processing-QC feature'!D29,"AAAAAHeXfcg=")</f>
        <v>#VALUE!</v>
      </c>
      <c r="GT1" t="e">
        <f>AND('Discovery-Processing-QC feature'!E29,"AAAAAHeXfck=")</f>
        <v>#VALUE!</v>
      </c>
      <c r="GU1" t="e">
        <f>AND('Discovery-Processing-QC feature'!F29,"AAAAAHeXfco=")</f>
        <v>#VALUE!</v>
      </c>
      <c r="GV1">
        <f>IF('Discovery-Processing-QC feature'!30:30,"AAAAAHeXfcs=",0)</f>
        <v>0</v>
      </c>
      <c r="GW1" t="e">
        <f>AND('Discovery-Processing-QC feature'!A30,"AAAAAHeXfcw=")</f>
        <v>#VALUE!</v>
      </c>
      <c r="GX1" t="e">
        <f>AND('Discovery-Processing-QC feature'!B30,"AAAAAHeXfc0=")</f>
        <v>#VALUE!</v>
      </c>
      <c r="GY1" t="e">
        <f>AND('Discovery-Processing-QC feature'!C30,"AAAAAHeXfc4=")</f>
        <v>#VALUE!</v>
      </c>
      <c r="GZ1" t="e">
        <f>AND('Discovery-Processing-QC feature'!D30,"AAAAAHeXfc8=")</f>
        <v>#VALUE!</v>
      </c>
      <c r="HA1" t="e">
        <f>AND('Discovery-Processing-QC feature'!E30,"AAAAAHeXfdA=")</f>
        <v>#VALUE!</v>
      </c>
      <c r="HB1" t="e">
        <f>AND('Discovery-Processing-QC feature'!F30,"AAAAAHeXfdE=")</f>
        <v>#VALUE!</v>
      </c>
      <c r="HC1">
        <f>IF('Discovery-Processing-QC feature'!31:31,"AAAAAHeXfdI=",0)</f>
        <v>0</v>
      </c>
      <c r="HD1" t="e">
        <f>AND('Discovery-Processing-QC feature'!A31,"AAAAAHeXfdM=")</f>
        <v>#VALUE!</v>
      </c>
      <c r="HE1" t="e">
        <f>AND('Discovery-Processing-QC feature'!B31,"AAAAAHeXfdQ=")</f>
        <v>#VALUE!</v>
      </c>
      <c r="HF1" t="e">
        <f>AND('Discovery-Processing-QC feature'!C31,"AAAAAHeXfdU=")</f>
        <v>#VALUE!</v>
      </c>
      <c r="HG1" t="e">
        <f>AND('Discovery-Processing-QC feature'!D31,"AAAAAHeXfdY=")</f>
        <v>#VALUE!</v>
      </c>
      <c r="HH1" t="e">
        <f>AND('Discovery-Processing-QC feature'!E31,"AAAAAHeXfdc=")</f>
        <v>#VALUE!</v>
      </c>
      <c r="HI1" t="e">
        <f>AND('Discovery-Processing-QC feature'!F31,"AAAAAHeXfdg=")</f>
        <v>#VALUE!</v>
      </c>
      <c r="HJ1">
        <f>IF('Discovery-Processing-QC feature'!32:32,"AAAAAHeXfdk=",0)</f>
        <v>0</v>
      </c>
      <c r="HK1" t="e">
        <f>AND('Discovery-Processing-QC feature'!A32,"AAAAAHeXfdo=")</f>
        <v>#VALUE!</v>
      </c>
      <c r="HL1" t="e">
        <f>AND('Discovery-Processing-QC feature'!B32,"AAAAAHeXfds=")</f>
        <v>#VALUE!</v>
      </c>
      <c r="HM1" t="e">
        <f>AND('Discovery-Processing-QC feature'!C32,"AAAAAHeXfdw=")</f>
        <v>#VALUE!</v>
      </c>
      <c r="HN1" t="e">
        <f>AND('Discovery-Processing-QC feature'!D32,"AAAAAHeXfd0=")</f>
        <v>#VALUE!</v>
      </c>
      <c r="HO1" t="e">
        <f>AND('Discovery-Processing-QC feature'!E32,"AAAAAHeXfd4=")</f>
        <v>#VALUE!</v>
      </c>
      <c r="HP1" t="e">
        <f>AND('Discovery-Processing-QC feature'!F32,"AAAAAHeXfd8=")</f>
        <v>#VALUE!</v>
      </c>
      <c r="HQ1">
        <f>IF('Discovery-Processing-QC feature'!33:33,"AAAAAHeXfeA=",0)</f>
        <v>0</v>
      </c>
      <c r="HR1" t="e">
        <f>AND('Discovery-Processing-QC feature'!A33,"AAAAAHeXfeE=")</f>
        <v>#VALUE!</v>
      </c>
      <c r="HS1" t="e">
        <f>AND('Discovery-Processing-QC feature'!B33,"AAAAAHeXfeI=")</f>
        <v>#VALUE!</v>
      </c>
      <c r="HT1" t="e">
        <f>AND('Discovery-Processing-QC feature'!C33,"AAAAAHeXfeM=")</f>
        <v>#VALUE!</v>
      </c>
      <c r="HU1" t="e">
        <f>AND('Discovery-Processing-QC feature'!D33,"AAAAAHeXfeQ=")</f>
        <v>#VALUE!</v>
      </c>
      <c r="HV1" t="e">
        <f>AND('Discovery-Processing-QC feature'!E33,"AAAAAHeXfeU=")</f>
        <v>#VALUE!</v>
      </c>
      <c r="HW1" t="e">
        <f>AND('Discovery-Processing-QC feature'!F33,"AAAAAHeXfeY=")</f>
        <v>#VALUE!</v>
      </c>
      <c r="HX1">
        <f>IF('Discovery-Processing-QC feature'!34:34,"AAAAAHeXfec=",0)</f>
        <v>0</v>
      </c>
      <c r="HY1" t="e">
        <f>AND('Discovery-Processing-QC feature'!A34,"AAAAAHeXfeg=")</f>
        <v>#VALUE!</v>
      </c>
      <c r="HZ1" t="e">
        <f>AND('Discovery-Processing-QC feature'!B34,"AAAAAHeXfek=")</f>
        <v>#VALUE!</v>
      </c>
      <c r="IA1" t="e">
        <f>AND('Discovery-Processing-QC feature'!C34,"AAAAAHeXfeo=")</f>
        <v>#VALUE!</v>
      </c>
      <c r="IB1" t="e">
        <f>AND('Discovery-Processing-QC feature'!D34,"AAAAAHeXfes=")</f>
        <v>#VALUE!</v>
      </c>
      <c r="IC1" t="e">
        <f>AND('Discovery-Processing-QC feature'!E34,"AAAAAHeXfew=")</f>
        <v>#VALUE!</v>
      </c>
      <c r="ID1" t="e">
        <f>AND('Discovery-Processing-QC feature'!F34,"AAAAAHeXfe0=")</f>
        <v>#VALUE!</v>
      </c>
      <c r="IE1">
        <f>IF('Discovery-Processing-QC feature'!35:35,"AAAAAHeXfe4=",0)</f>
        <v>0</v>
      </c>
      <c r="IF1" t="e">
        <f>AND('Discovery-Processing-QC feature'!A35,"AAAAAHeXfe8=")</f>
        <v>#VALUE!</v>
      </c>
      <c r="IG1" t="e">
        <f>AND('Discovery-Processing-QC feature'!B35,"AAAAAHeXffA=")</f>
        <v>#VALUE!</v>
      </c>
      <c r="IH1" t="e">
        <f>AND('Discovery-Processing-QC feature'!C35,"AAAAAHeXffE=")</f>
        <v>#VALUE!</v>
      </c>
      <c r="II1" t="e">
        <f>AND('Discovery-Processing-QC feature'!D35,"AAAAAHeXffI=")</f>
        <v>#VALUE!</v>
      </c>
      <c r="IJ1" t="e">
        <f>AND('Discovery-Processing-QC feature'!E35,"AAAAAHeXffM=")</f>
        <v>#VALUE!</v>
      </c>
      <c r="IK1" t="e">
        <f>AND('Discovery-Processing-QC feature'!F35,"AAAAAHeXffQ=")</f>
        <v>#VALUE!</v>
      </c>
      <c r="IL1">
        <f>IF('Discovery-Processing-QC feature'!36:36,"AAAAAHeXffU=",0)</f>
        <v>0</v>
      </c>
      <c r="IM1" t="e">
        <f>AND('Discovery-Processing-QC feature'!A36,"AAAAAHeXffY=")</f>
        <v>#VALUE!</v>
      </c>
      <c r="IN1" t="e">
        <f>AND('Discovery-Processing-QC feature'!B36,"AAAAAHeXffc=")</f>
        <v>#VALUE!</v>
      </c>
      <c r="IO1" t="e">
        <f>AND('Discovery-Processing-QC feature'!C36,"AAAAAHeXffg=")</f>
        <v>#VALUE!</v>
      </c>
      <c r="IP1" t="e">
        <f>AND('Discovery-Processing-QC feature'!D36,"AAAAAHeXffk=")</f>
        <v>#VALUE!</v>
      </c>
      <c r="IQ1" t="e">
        <f>AND('Discovery-Processing-QC feature'!E36,"AAAAAHeXffo=")</f>
        <v>#VALUE!</v>
      </c>
      <c r="IR1" t="e">
        <f>AND('Discovery-Processing-QC feature'!F36,"AAAAAHeXffs=")</f>
        <v>#VALUE!</v>
      </c>
      <c r="IS1">
        <f>IF('Discovery-Processing-QC feature'!37:37,"AAAAAHeXffw=",0)</f>
        <v>0</v>
      </c>
      <c r="IT1" t="e">
        <f>AND('Discovery-Processing-QC feature'!A37,"AAAAAHeXff0=")</f>
        <v>#VALUE!</v>
      </c>
      <c r="IU1" t="e">
        <f>AND('Discovery-Processing-QC feature'!B37,"AAAAAHeXff4=")</f>
        <v>#VALUE!</v>
      </c>
      <c r="IV1" t="e">
        <f>AND('Discovery-Processing-QC feature'!C37,"AAAAAHeXff8=")</f>
        <v>#VALUE!</v>
      </c>
    </row>
    <row r="2" spans="1:256" x14ac:dyDescent="0.2">
      <c r="A2" t="e">
        <f>AND('Discovery-Processing-QC feature'!D37,"AAAAAG1m3wA=")</f>
        <v>#VALUE!</v>
      </c>
      <c r="B2" t="e">
        <f>AND('Discovery-Processing-QC feature'!E37,"AAAAAG1m3wE=")</f>
        <v>#VALUE!</v>
      </c>
      <c r="C2" t="e">
        <f>AND('Discovery-Processing-QC feature'!F37,"AAAAAG1m3wI=")</f>
        <v>#VALUE!</v>
      </c>
      <c r="D2" t="e">
        <f>IF('Discovery-Processing-QC feature'!38:38,"AAAAAG1m3wM=",0)</f>
        <v>#VALUE!</v>
      </c>
      <c r="E2" t="e">
        <f>AND('Discovery-Processing-QC feature'!A38,"AAAAAG1m3wQ=")</f>
        <v>#VALUE!</v>
      </c>
      <c r="F2" t="e">
        <f>AND('Discovery-Processing-QC feature'!B38,"AAAAAG1m3wU=")</f>
        <v>#VALUE!</v>
      </c>
      <c r="G2" t="e">
        <f>AND('Discovery-Processing-QC feature'!C38,"AAAAAG1m3wY=")</f>
        <v>#VALUE!</v>
      </c>
      <c r="H2" t="e">
        <f>AND('Discovery-Processing-QC feature'!D38,"AAAAAG1m3wc=")</f>
        <v>#VALUE!</v>
      </c>
      <c r="I2" t="e">
        <f>AND('Discovery-Processing-QC feature'!E38,"AAAAAG1m3wg=")</f>
        <v>#VALUE!</v>
      </c>
      <c r="J2" t="e">
        <f>AND('Discovery-Processing-QC feature'!F38,"AAAAAG1m3wk=")</f>
        <v>#VALUE!</v>
      </c>
      <c r="K2">
        <f>IF('Discovery-Processing-QC feature'!39:39,"AAAAAG1m3wo=",0)</f>
        <v>0</v>
      </c>
      <c r="L2" t="e">
        <f>AND('Discovery-Processing-QC feature'!A39,"AAAAAG1m3ws=")</f>
        <v>#VALUE!</v>
      </c>
      <c r="M2" t="e">
        <f>AND('Discovery-Processing-QC feature'!B39,"AAAAAG1m3ww=")</f>
        <v>#VALUE!</v>
      </c>
      <c r="N2" t="e">
        <f>AND('Discovery-Processing-QC feature'!C39,"AAAAAG1m3w0=")</f>
        <v>#VALUE!</v>
      </c>
      <c r="O2" t="e">
        <f>AND('Discovery-Processing-QC feature'!D39,"AAAAAG1m3w4=")</f>
        <v>#VALUE!</v>
      </c>
      <c r="P2" t="e">
        <f>AND('Discovery-Processing-QC feature'!E39,"AAAAAG1m3w8=")</f>
        <v>#VALUE!</v>
      </c>
      <c r="Q2" t="e">
        <f>AND('Discovery-Processing-QC feature'!F39,"AAAAAG1m3xA=")</f>
        <v>#VALUE!</v>
      </c>
      <c r="R2">
        <f>IF('Discovery-Processing-QC feature'!40:40,"AAAAAG1m3xE=",0)</f>
        <v>0</v>
      </c>
      <c r="S2" t="e">
        <f>AND('Discovery-Processing-QC feature'!A40,"AAAAAG1m3xI=")</f>
        <v>#VALUE!</v>
      </c>
      <c r="T2" t="e">
        <f>AND('Discovery-Processing-QC feature'!B40,"AAAAAG1m3xM=")</f>
        <v>#VALUE!</v>
      </c>
      <c r="U2" t="e">
        <f>AND('Discovery-Processing-QC feature'!C40,"AAAAAG1m3xQ=")</f>
        <v>#VALUE!</v>
      </c>
      <c r="V2" t="e">
        <f>AND('Discovery-Processing-QC feature'!D40,"AAAAAG1m3xU=")</f>
        <v>#VALUE!</v>
      </c>
      <c r="W2" t="e">
        <f>AND('Discovery-Processing-QC feature'!E40,"AAAAAG1m3xY=")</f>
        <v>#VALUE!</v>
      </c>
      <c r="X2" t="e">
        <f>AND('Discovery-Processing-QC feature'!F40,"AAAAAG1m3xc=")</f>
        <v>#VALUE!</v>
      </c>
      <c r="Y2">
        <f>IF('Discovery-Processing-QC feature'!41:41,"AAAAAG1m3xg=",0)</f>
        <v>0</v>
      </c>
      <c r="Z2" t="e">
        <f>AND('Discovery-Processing-QC feature'!A41,"AAAAAG1m3xk=")</f>
        <v>#VALUE!</v>
      </c>
      <c r="AA2" t="e">
        <f>AND('Discovery-Processing-QC feature'!B41,"AAAAAG1m3xo=")</f>
        <v>#VALUE!</v>
      </c>
      <c r="AB2" t="e">
        <f>AND('Discovery-Processing-QC feature'!C41,"AAAAAG1m3xs=")</f>
        <v>#VALUE!</v>
      </c>
      <c r="AC2" t="e">
        <f>AND('Discovery-Processing-QC feature'!D41,"AAAAAG1m3xw=")</f>
        <v>#VALUE!</v>
      </c>
      <c r="AD2" t="e">
        <f>AND('Discovery-Processing-QC feature'!E41,"AAAAAG1m3x0=")</f>
        <v>#VALUE!</v>
      </c>
      <c r="AE2" t="e">
        <f>AND('Discovery-Processing-QC feature'!F41,"AAAAAG1m3x4=")</f>
        <v>#VALUE!</v>
      </c>
      <c r="AF2">
        <f>IF('Discovery-Processing-QC feature'!42:42,"AAAAAG1m3x8=",0)</f>
        <v>0</v>
      </c>
      <c r="AG2" t="e">
        <f>AND('Discovery-Processing-QC feature'!A42,"AAAAAG1m3yA=")</f>
        <v>#VALUE!</v>
      </c>
      <c r="AH2" t="e">
        <f>AND('Discovery-Processing-QC feature'!B42,"AAAAAG1m3yE=")</f>
        <v>#VALUE!</v>
      </c>
      <c r="AI2" t="e">
        <f>AND('Discovery-Processing-QC feature'!C42,"AAAAAG1m3yI=")</f>
        <v>#VALUE!</v>
      </c>
      <c r="AJ2" t="e">
        <f>AND('Discovery-Processing-QC feature'!D42,"AAAAAG1m3yM=")</f>
        <v>#VALUE!</v>
      </c>
      <c r="AK2" t="e">
        <f>AND('Discovery-Processing-QC feature'!E42,"AAAAAG1m3yQ=")</f>
        <v>#VALUE!</v>
      </c>
      <c r="AL2" t="e">
        <f>AND('Discovery-Processing-QC feature'!F42,"AAAAAG1m3yU=")</f>
        <v>#VALUE!</v>
      </c>
      <c r="AM2">
        <f>IF('Discovery-Processing-QC feature'!43:43,"AAAAAG1m3yY=",0)</f>
        <v>0</v>
      </c>
      <c r="AN2" t="e">
        <f>AND('Discovery-Processing-QC feature'!A43,"AAAAAG1m3yc=")</f>
        <v>#VALUE!</v>
      </c>
      <c r="AO2" t="e">
        <f>AND('Discovery-Processing-QC feature'!B43,"AAAAAG1m3yg=")</f>
        <v>#VALUE!</v>
      </c>
      <c r="AP2" t="e">
        <f>AND('Discovery-Processing-QC feature'!C43,"AAAAAG1m3yk=")</f>
        <v>#VALUE!</v>
      </c>
      <c r="AQ2" t="e">
        <f>AND('Discovery-Processing-QC feature'!D43,"AAAAAG1m3yo=")</f>
        <v>#VALUE!</v>
      </c>
      <c r="AR2" t="e">
        <f>AND('Discovery-Processing-QC feature'!E43,"AAAAAG1m3ys=")</f>
        <v>#VALUE!</v>
      </c>
      <c r="AS2" t="e">
        <f>AND('Discovery-Processing-QC feature'!F43,"AAAAAG1m3yw=")</f>
        <v>#VALUE!</v>
      </c>
      <c r="AT2">
        <f>IF('Discovery-Processing-QC feature'!44:44,"AAAAAG1m3y0=",0)</f>
        <v>0</v>
      </c>
      <c r="AU2" t="e">
        <f>AND('Discovery-Processing-QC feature'!A44,"AAAAAG1m3y4=")</f>
        <v>#VALUE!</v>
      </c>
      <c r="AV2" t="e">
        <f>AND('Discovery-Processing-QC feature'!B44,"AAAAAG1m3y8=")</f>
        <v>#VALUE!</v>
      </c>
      <c r="AW2" t="e">
        <f>AND('Discovery-Processing-QC feature'!C44,"AAAAAG1m3zA=")</f>
        <v>#VALUE!</v>
      </c>
      <c r="AX2" t="e">
        <f>AND('Discovery-Processing-QC feature'!D44,"AAAAAG1m3zE=")</f>
        <v>#VALUE!</v>
      </c>
      <c r="AY2" t="e">
        <f>AND('Discovery-Processing-QC feature'!E44,"AAAAAG1m3zI=")</f>
        <v>#VALUE!</v>
      </c>
      <c r="AZ2" t="e">
        <f>AND('Discovery-Processing-QC feature'!F44,"AAAAAG1m3zM=")</f>
        <v>#VALUE!</v>
      </c>
      <c r="BA2">
        <f>IF('Discovery-Processing-QC feature'!45:45,"AAAAAG1m3zQ=",0)</f>
        <v>0</v>
      </c>
      <c r="BB2" t="e">
        <f>AND('Discovery-Processing-QC feature'!A45,"AAAAAG1m3zU=")</f>
        <v>#VALUE!</v>
      </c>
      <c r="BC2" t="e">
        <f>AND('Discovery-Processing-QC feature'!B45,"AAAAAG1m3zY=")</f>
        <v>#VALUE!</v>
      </c>
      <c r="BD2" t="e">
        <f>AND('Discovery-Processing-QC feature'!C45,"AAAAAG1m3zc=")</f>
        <v>#VALUE!</v>
      </c>
      <c r="BE2" t="e">
        <f>AND('Discovery-Processing-QC feature'!D45,"AAAAAG1m3zg=")</f>
        <v>#VALUE!</v>
      </c>
      <c r="BF2" t="e">
        <f>AND('Discovery-Processing-QC feature'!E45,"AAAAAG1m3zk=")</f>
        <v>#VALUE!</v>
      </c>
      <c r="BG2" t="e">
        <f>AND('Discovery-Processing-QC feature'!F45,"AAAAAG1m3zo=")</f>
        <v>#VALUE!</v>
      </c>
      <c r="BH2">
        <f>IF('Discovery-Processing-QC feature'!46:46,"AAAAAG1m3zs=",0)</f>
        <v>0</v>
      </c>
      <c r="BI2" t="e">
        <f>AND('Discovery-Processing-QC feature'!A46,"AAAAAG1m3zw=")</f>
        <v>#VALUE!</v>
      </c>
      <c r="BJ2" t="e">
        <f>AND('Discovery-Processing-QC feature'!B46,"AAAAAG1m3z0=")</f>
        <v>#VALUE!</v>
      </c>
      <c r="BK2" t="e">
        <f>AND('Discovery-Processing-QC feature'!C46,"AAAAAG1m3z4=")</f>
        <v>#VALUE!</v>
      </c>
      <c r="BL2" t="e">
        <f>AND('Discovery-Processing-QC feature'!D46,"AAAAAG1m3z8=")</f>
        <v>#VALUE!</v>
      </c>
      <c r="BM2" t="e">
        <f>AND('Discovery-Processing-QC feature'!E46,"AAAAAG1m30A=")</f>
        <v>#VALUE!</v>
      </c>
      <c r="BN2" t="e">
        <f>AND('Discovery-Processing-QC feature'!F46,"AAAAAG1m30E=")</f>
        <v>#VALUE!</v>
      </c>
      <c r="BO2">
        <f>IF('Discovery-Processing-QC feature'!47:47,"AAAAAG1m30I=",0)</f>
        <v>0</v>
      </c>
      <c r="BP2" t="e">
        <f>AND('Discovery-Processing-QC feature'!A47,"AAAAAG1m30M=")</f>
        <v>#VALUE!</v>
      </c>
      <c r="BQ2" t="e">
        <f>AND('Discovery-Processing-QC feature'!B47,"AAAAAG1m30Q=")</f>
        <v>#VALUE!</v>
      </c>
      <c r="BR2" t="e">
        <f>AND('Discovery-Processing-QC feature'!C47,"AAAAAG1m30U=")</f>
        <v>#VALUE!</v>
      </c>
      <c r="BS2" t="e">
        <f>AND('Discovery-Processing-QC feature'!D47,"AAAAAG1m30Y=")</f>
        <v>#VALUE!</v>
      </c>
      <c r="BT2" t="e">
        <f>AND('Discovery-Processing-QC feature'!E47,"AAAAAG1m30c=")</f>
        <v>#VALUE!</v>
      </c>
      <c r="BU2" t="e">
        <f>AND('Discovery-Processing-QC feature'!F47,"AAAAAG1m30g=")</f>
        <v>#VALUE!</v>
      </c>
      <c r="BV2">
        <f>IF('Discovery-Processing-QC feature'!48:48,"AAAAAG1m30k=",0)</f>
        <v>0</v>
      </c>
      <c r="BW2" t="e">
        <f>AND('Discovery-Processing-QC feature'!A48,"AAAAAG1m30o=")</f>
        <v>#VALUE!</v>
      </c>
      <c r="BX2" t="e">
        <f>AND('Discovery-Processing-QC feature'!B48,"AAAAAG1m30s=")</f>
        <v>#VALUE!</v>
      </c>
      <c r="BY2" t="e">
        <f>AND('Discovery-Processing-QC feature'!C48,"AAAAAG1m30w=")</f>
        <v>#VALUE!</v>
      </c>
      <c r="BZ2" t="e">
        <f>AND('Discovery-Processing-QC feature'!D48,"AAAAAG1m300=")</f>
        <v>#VALUE!</v>
      </c>
      <c r="CA2" t="e">
        <f>AND('Discovery-Processing-QC feature'!E48,"AAAAAG1m304=")</f>
        <v>#VALUE!</v>
      </c>
      <c r="CB2" t="e">
        <f>AND('Discovery-Processing-QC feature'!F48,"AAAAAG1m308=")</f>
        <v>#VALUE!</v>
      </c>
      <c r="CC2">
        <f>IF('Discovery-Processing-QC feature'!49:49,"AAAAAG1m31A=",0)</f>
        <v>0</v>
      </c>
      <c r="CD2" t="e">
        <f>AND('Discovery-Processing-QC feature'!A49,"AAAAAG1m31E=")</f>
        <v>#VALUE!</v>
      </c>
      <c r="CE2" t="e">
        <f>AND('Discovery-Processing-QC feature'!B49,"AAAAAG1m31I=")</f>
        <v>#VALUE!</v>
      </c>
      <c r="CF2" t="e">
        <f>AND('Discovery-Processing-QC feature'!C49,"AAAAAG1m31M=")</f>
        <v>#VALUE!</v>
      </c>
      <c r="CG2" t="e">
        <f>AND('Discovery-Processing-QC feature'!D49,"AAAAAG1m31Q=")</f>
        <v>#VALUE!</v>
      </c>
      <c r="CH2" t="e">
        <f>AND('Discovery-Processing-QC feature'!E49,"AAAAAG1m31U=")</f>
        <v>#VALUE!</v>
      </c>
      <c r="CI2" t="e">
        <f>AND('Discovery-Processing-QC feature'!F49,"AAAAAG1m31Y=")</f>
        <v>#VALUE!</v>
      </c>
      <c r="CJ2">
        <f>IF('Discovery-Processing-QC feature'!50:50,"AAAAAG1m31c=",0)</f>
        <v>0</v>
      </c>
      <c r="CK2" t="e">
        <f>AND('Discovery-Processing-QC feature'!A50,"AAAAAG1m31g=")</f>
        <v>#VALUE!</v>
      </c>
      <c r="CL2" t="e">
        <f>AND('Discovery-Processing-QC feature'!B50,"AAAAAG1m31k=")</f>
        <v>#VALUE!</v>
      </c>
      <c r="CM2" t="e">
        <f>AND('Discovery-Processing-QC feature'!C50,"AAAAAG1m31o=")</f>
        <v>#VALUE!</v>
      </c>
      <c r="CN2" t="e">
        <f>AND('Discovery-Processing-QC feature'!D50,"AAAAAG1m31s=")</f>
        <v>#VALUE!</v>
      </c>
      <c r="CO2" t="e">
        <f>AND('Discovery-Processing-QC feature'!E50,"AAAAAG1m31w=")</f>
        <v>#VALUE!</v>
      </c>
      <c r="CP2" t="e">
        <f>AND('Discovery-Processing-QC feature'!F50,"AAAAAG1m310=")</f>
        <v>#VALUE!</v>
      </c>
      <c r="CQ2">
        <f>IF('Discovery-Processing-QC feature'!51:51,"AAAAAG1m314=",0)</f>
        <v>0</v>
      </c>
      <c r="CR2" t="e">
        <f>AND('Discovery-Processing-QC feature'!A51,"AAAAAG1m318=")</f>
        <v>#VALUE!</v>
      </c>
      <c r="CS2" t="e">
        <f>AND('Discovery-Processing-QC feature'!B51,"AAAAAG1m32A=")</f>
        <v>#VALUE!</v>
      </c>
      <c r="CT2" t="e">
        <f>AND('Discovery-Processing-QC feature'!C51,"AAAAAG1m32E=")</f>
        <v>#VALUE!</v>
      </c>
      <c r="CU2" t="e">
        <f>AND('Discovery-Processing-QC feature'!D51,"AAAAAG1m32I=")</f>
        <v>#VALUE!</v>
      </c>
      <c r="CV2" t="e">
        <f>AND('Discovery-Processing-QC feature'!E51,"AAAAAG1m32M=")</f>
        <v>#VALUE!</v>
      </c>
      <c r="CW2" t="e">
        <f>AND('Discovery-Processing-QC feature'!F51,"AAAAAG1m32Q=")</f>
        <v>#VALUE!</v>
      </c>
      <c r="CX2">
        <f>IF('Discovery-Processing-QC feature'!52:52,"AAAAAG1m32U=",0)</f>
        <v>0</v>
      </c>
      <c r="CY2" t="e">
        <f>AND('Discovery-Processing-QC feature'!A52,"AAAAAG1m32Y=")</f>
        <v>#VALUE!</v>
      </c>
      <c r="CZ2" t="e">
        <f>AND('Discovery-Processing-QC feature'!B52,"AAAAAG1m32c=")</f>
        <v>#VALUE!</v>
      </c>
      <c r="DA2" t="e">
        <f>AND('Discovery-Processing-QC feature'!C52,"AAAAAG1m32g=")</f>
        <v>#VALUE!</v>
      </c>
      <c r="DB2" t="e">
        <f>AND('Discovery-Processing-QC feature'!D52,"AAAAAG1m32k=")</f>
        <v>#VALUE!</v>
      </c>
      <c r="DC2" t="e">
        <f>AND('Discovery-Processing-QC feature'!E52,"AAAAAG1m32o=")</f>
        <v>#VALUE!</v>
      </c>
      <c r="DD2" t="e">
        <f>AND('Discovery-Processing-QC feature'!F52,"AAAAAG1m32s=")</f>
        <v>#VALUE!</v>
      </c>
      <c r="DE2">
        <f>IF('Discovery-Processing-QC feature'!53:53,"AAAAAG1m32w=",0)</f>
        <v>0</v>
      </c>
      <c r="DF2" t="e">
        <f>AND('Discovery-Processing-QC feature'!A53,"AAAAAG1m320=")</f>
        <v>#VALUE!</v>
      </c>
      <c r="DG2" t="e">
        <f>AND('Discovery-Processing-QC feature'!B53,"AAAAAG1m324=")</f>
        <v>#VALUE!</v>
      </c>
      <c r="DH2" t="e">
        <f>AND('Discovery-Processing-QC feature'!C53,"AAAAAG1m328=")</f>
        <v>#VALUE!</v>
      </c>
      <c r="DI2" t="e">
        <f>AND('Discovery-Processing-QC feature'!D53,"AAAAAG1m33A=")</f>
        <v>#VALUE!</v>
      </c>
      <c r="DJ2" t="e">
        <f>AND('Discovery-Processing-QC feature'!E53,"AAAAAG1m33E=")</f>
        <v>#VALUE!</v>
      </c>
      <c r="DK2" t="e">
        <f>AND('Discovery-Processing-QC feature'!F53,"AAAAAG1m33I=")</f>
        <v>#VALUE!</v>
      </c>
      <c r="DL2">
        <f>IF('Discovery-Processing-QC feature'!54:54,"AAAAAG1m33M=",0)</f>
        <v>0</v>
      </c>
      <c r="DM2" t="e">
        <f>AND('Discovery-Processing-QC feature'!A54,"AAAAAG1m33Q=")</f>
        <v>#VALUE!</v>
      </c>
      <c r="DN2" t="e">
        <f>AND('Discovery-Processing-QC feature'!B54,"AAAAAG1m33U=")</f>
        <v>#VALUE!</v>
      </c>
      <c r="DO2" t="e">
        <f>AND('Discovery-Processing-QC feature'!C54,"AAAAAG1m33Y=")</f>
        <v>#VALUE!</v>
      </c>
      <c r="DP2" t="e">
        <f>AND('Discovery-Processing-QC feature'!D54,"AAAAAG1m33c=")</f>
        <v>#VALUE!</v>
      </c>
      <c r="DQ2" t="e">
        <f>AND('Discovery-Processing-QC feature'!E54,"AAAAAG1m33g=")</f>
        <v>#VALUE!</v>
      </c>
      <c r="DR2" t="e">
        <f>AND('Discovery-Processing-QC feature'!F54,"AAAAAG1m33k=")</f>
        <v>#VALUE!</v>
      </c>
      <c r="DS2">
        <f>IF('Discovery-Processing-QC feature'!55:55,"AAAAAG1m33o=",0)</f>
        <v>0</v>
      </c>
      <c r="DT2" t="e">
        <f>AND('Discovery-Processing-QC feature'!A55,"AAAAAG1m33s=")</f>
        <v>#VALUE!</v>
      </c>
      <c r="DU2" t="e">
        <f>AND('Discovery-Processing-QC feature'!B55,"AAAAAG1m33w=")</f>
        <v>#VALUE!</v>
      </c>
      <c r="DV2" t="e">
        <f>AND('Discovery-Processing-QC feature'!C55,"AAAAAG1m330=")</f>
        <v>#VALUE!</v>
      </c>
      <c r="DW2" t="e">
        <f>AND('Discovery-Processing-QC feature'!D55,"AAAAAG1m334=")</f>
        <v>#VALUE!</v>
      </c>
      <c r="DX2" t="e">
        <f>AND('Discovery-Processing-QC feature'!E55,"AAAAAG1m338=")</f>
        <v>#VALUE!</v>
      </c>
      <c r="DY2" t="e">
        <f>AND('Discovery-Processing-QC feature'!F55,"AAAAAG1m34A=")</f>
        <v>#VALUE!</v>
      </c>
      <c r="DZ2">
        <f>IF('Discovery-Processing-QC feature'!56:56,"AAAAAG1m34E=",0)</f>
        <v>0</v>
      </c>
      <c r="EA2" t="e">
        <f>AND('Discovery-Processing-QC feature'!A56,"AAAAAG1m34I=")</f>
        <v>#VALUE!</v>
      </c>
      <c r="EB2" t="e">
        <f>AND('Discovery-Processing-QC feature'!B56,"AAAAAG1m34M=")</f>
        <v>#VALUE!</v>
      </c>
      <c r="EC2" t="e">
        <f>AND('Discovery-Processing-QC feature'!C56,"AAAAAG1m34Q=")</f>
        <v>#VALUE!</v>
      </c>
      <c r="ED2" t="e">
        <f>AND('Discovery-Processing-QC feature'!D56,"AAAAAG1m34U=")</f>
        <v>#VALUE!</v>
      </c>
      <c r="EE2" t="e">
        <f>AND('Discovery-Processing-QC feature'!E56,"AAAAAG1m34Y=")</f>
        <v>#VALUE!</v>
      </c>
      <c r="EF2" t="e">
        <f>AND('Discovery-Processing-QC feature'!F56,"AAAAAG1m34c=")</f>
        <v>#VALUE!</v>
      </c>
      <c r="EG2">
        <f>IF('Discovery-Processing-QC feature'!57:57,"AAAAAG1m34g=",0)</f>
        <v>0</v>
      </c>
      <c r="EH2" t="e">
        <f>AND('Discovery-Processing-QC feature'!A57,"AAAAAG1m34k=")</f>
        <v>#VALUE!</v>
      </c>
      <c r="EI2" t="e">
        <f>AND('Discovery-Processing-QC feature'!B57,"AAAAAG1m34o=")</f>
        <v>#VALUE!</v>
      </c>
      <c r="EJ2" t="e">
        <f>AND('Discovery-Processing-QC feature'!C57,"AAAAAG1m34s=")</f>
        <v>#VALUE!</v>
      </c>
      <c r="EK2" t="e">
        <f>AND('Discovery-Processing-QC feature'!D57,"AAAAAG1m34w=")</f>
        <v>#VALUE!</v>
      </c>
      <c r="EL2" t="e">
        <f>AND('Discovery-Processing-QC feature'!E57,"AAAAAG1m340=")</f>
        <v>#VALUE!</v>
      </c>
      <c r="EM2" t="e">
        <f>AND('Discovery-Processing-QC feature'!F57,"AAAAAG1m344=")</f>
        <v>#VALUE!</v>
      </c>
      <c r="EN2">
        <f>IF('Discovery-Processing-QC feature'!58:58,"AAAAAG1m348=",0)</f>
        <v>0</v>
      </c>
      <c r="EO2" t="e">
        <f>AND('Discovery-Processing-QC feature'!A58,"AAAAAG1m35A=")</f>
        <v>#VALUE!</v>
      </c>
      <c r="EP2" t="e">
        <f>AND('Discovery-Processing-QC feature'!B58,"AAAAAG1m35E=")</f>
        <v>#VALUE!</v>
      </c>
      <c r="EQ2" t="e">
        <f>AND('Discovery-Processing-QC feature'!C58,"AAAAAG1m35I=")</f>
        <v>#VALUE!</v>
      </c>
      <c r="ER2" t="e">
        <f>AND('Discovery-Processing-QC feature'!D58,"AAAAAG1m35M=")</f>
        <v>#VALUE!</v>
      </c>
      <c r="ES2" t="e">
        <f>AND('Discovery-Processing-QC feature'!E58,"AAAAAG1m35Q=")</f>
        <v>#VALUE!</v>
      </c>
      <c r="ET2" t="e">
        <f>AND('Discovery-Processing-QC feature'!F58,"AAAAAG1m35U=")</f>
        <v>#VALUE!</v>
      </c>
      <c r="EU2">
        <f>IF('Discovery-Processing-QC feature'!59:59,"AAAAAG1m35Y=",0)</f>
        <v>0</v>
      </c>
      <c r="EV2" t="e">
        <f>AND('Discovery-Processing-QC feature'!A59,"AAAAAG1m35c=")</f>
        <v>#VALUE!</v>
      </c>
      <c r="EW2" t="e">
        <f>AND('Discovery-Processing-QC feature'!B59,"AAAAAG1m35g=")</f>
        <v>#VALUE!</v>
      </c>
      <c r="EX2" t="e">
        <f>AND('Discovery-Processing-QC feature'!C59,"AAAAAG1m35k=")</f>
        <v>#VALUE!</v>
      </c>
      <c r="EY2" t="e">
        <f>AND('Discovery-Processing-QC feature'!D59,"AAAAAG1m35o=")</f>
        <v>#VALUE!</v>
      </c>
      <c r="EZ2" t="e">
        <f>AND('Discovery-Processing-QC feature'!E59,"AAAAAG1m35s=")</f>
        <v>#VALUE!</v>
      </c>
      <c r="FA2" t="e">
        <f>AND('Discovery-Processing-QC feature'!F59,"AAAAAG1m35w=")</f>
        <v>#VALUE!</v>
      </c>
      <c r="FB2">
        <f>IF('Discovery-Processing-QC feature'!60:60,"AAAAAG1m350=",0)</f>
        <v>0</v>
      </c>
      <c r="FC2" t="e">
        <f>AND('Discovery-Processing-QC feature'!A60,"AAAAAG1m354=")</f>
        <v>#VALUE!</v>
      </c>
      <c r="FD2" t="e">
        <f>AND('Discovery-Processing-QC feature'!B60,"AAAAAG1m358=")</f>
        <v>#VALUE!</v>
      </c>
      <c r="FE2" t="e">
        <f>AND('Discovery-Processing-QC feature'!C60,"AAAAAG1m36A=")</f>
        <v>#VALUE!</v>
      </c>
      <c r="FF2" t="e">
        <f>AND('Discovery-Processing-QC feature'!D60,"AAAAAG1m36E=")</f>
        <v>#VALUE!</v>
      </c>
      <c r="FG2" t="e">
        <f>AND('Discovery-Processing-QC feature'!E60,"AAAAAG1m36I=")</f>
        <v>#VALUE!</v>
      </c>
      <c r="FH2" t="e">
        <f>AND('Discovery-Processing-QC feature'!F60,"AAAAAG1m36M=")</f>
        <v>#VALUE!</v>
      </c>
      <c r="FI2">
        <f>IF('Discovery-Processing-QC feature'!61:61,"AAAAAG1m36Q=",0)</f>
        <v>0</v>
      </c>
      <c r="FJ2" t="e">
        <f>AND('Discovery-Processing-QC feature'!A61,"AAAAAG1m36U=")</f>
        <v>#VALUE!</v>
      </c>
      <c r="FK2" t="e">
        <f>AND('Discovery-Processing-QC feature'!B61,"AAAAAG1m36Y=")</f>
        <v>#VALUE!</v>
      </c>
      <c r="FL2" t="e">
        <f>AND('Discovery-Processing-QC feature'!C61,"AAAAAG1m36c=")</f>
        <v>#VALUE!</v>
      </c>
      <c r="FM2" t="e">
        <f>AND('Discovery-Processing-QC feature'!D61,"AAAAAG1m36g=")</f>
        <v>#VALUE!</v>
      </c>
      <c r="FN2" t="e">
        <f>AND('Discovery-Processing-QC feature'!E61,"AAAAAG1m36k=")</f>
        <v>#VALUE!</v>
      </c>
      <c r="FO2" t="e">
        <f>AND('Discovery-Processing-QC feature'!F61,"AAAAAG1m36o=")</f>
        <v>#VALUE!</v>
      </c>
      <c r="FP2">
        <f>IF('Discovery-Processing-QC feature'!62:62,"AAAAAG1m36s=",0)</f>
        <v>0</v>
      </c>
      <c r="FQ2" t="e">
        <f>AND('Discovery-Processing-QC feature'!A62,"AAAAAG1m36w=")</f>
        <v>#VALUE!</v>
      </c>
      <c r="FR2" t="e">
        <f>AND('Discovery-Processing-QC feature'!B62,"AAAAAG1m360=")</f>
        <v>#VALUE!</v>
      </c>
      <c r="FS2" t="e">
        <f>AND('Discovery-Processing-QC feature'!C62,"AAAAAG1m364=")</f>
        <v>#VALUE!</v>
      </c>
      <c r="FT2" t="e">
        <f>AND('Discovery-Processing-QC feature'!D62,"AAAAAG1m368=")</f>
        <v>#VALUE!</v>
      </c>
      <c r="FU2" t="e">
        <f>AND('Discovery-Processing-QC feature'!E62,"AAAAAG1m37A=")</f>
        <v>#VALUE!</v>
      </c>
      <c r="FV2" t="e">
        <f>AND('Discovery-Processing-QC feature'!F62,"AAAAAG1m37E=")</f>
        <v>#VALUE!</v>
      </c>
      <c r="FW2">
        <f>IF('Discovery-Processing-QC feature'!63:63,"AAAAAG1m37I=",0)</f>
        <v>0</v>
      </c>
      <c r="FX2" t="e">
        <f>AND('Discovery-Processing-QC feature'!A63,"AAAAAG1m37M=")</f>
        <v>#VALUE!</v>
      </c>
      <c r="FY2" t="e">
        <f>AND('Discovery-Processing-QC feature'!B63,"AAAAAG1m37Q=")</f>
        <v>#VALUE!</v>
      </c>
      <c r="FZ2" t="e">
        <f>AND('Discovery-Processing-QC feature'!C63,"AAAAAG1m37U=")</f>
        <v>#VALUE!</v>
      </c>
      <c r="GA2" t="e">
        <f>AND('Discovery-Processing-QC feature'!D63,"AAAAAG1m37Y=")</f>
        <v>#VALUE!</v>
      </c>
      <c r="GB2" t="e">
        <f>AND('Discovery-Processing-QC feature'!E63,"AAAAAG1m37c=")</f>
        <v>#VALUE!</v>
      </c>
      <c r="GC2" t="e">
        <f>AND('Discovery-Processing-QC feature'!F63,"AAAAAG1m37g=")</f>
        <v>#VALUE!</v>
      </c>
      <c r="GD2">
        <f>IF('Discovery-Processing-QC feature'!64:64,"AAAAAG1m37k=",0)</f>
        <v>0</v>
      </c>
      <c r="GE2" t="e">
        <f>AND('Discovery-Processing-QC feature'!A64,"AAAAAG1m37o=")</f>
        <v>#VALUE!</v>
      </c>
      <c r="GF2" t="e">
        <f>AND('Discovery-Processing-QC feature'!B64,"AAAAAG1m37s=")</f>
        <v>#VALUE!</v>
      </c>
      <c r="GG2" t="e">
        <f>AND('Discovery-Processing-QC feature'!C64,"AAAAAG1m37w=")</f>
        <v>#VALUE!</v>
      </c>
      <c r="GH2" t="e">
        <f>AND('Discovery-Processing-QC feature'!D64,"AAAAAG1m370=")</f>
        <v>#VALUE!</v>
      </c>
      <c r="GI2" t="e">
        <f>AND('Discovery-Processing-QC feature'!E64,"AAAAAG1m374=")</f>
        <v>#VALUE!</v>
      </c>
      <c r="GJ2" t="e">
        <f>AND('Discovery-Processing-QC feature'!F64,"AAAAAG1m378=")</f>
        <v>#VALUE!</v>
      </c>
      <c r="GK2">
        <f>IF('Discovery-Processing-QC feature'!65:65,"AAAAAG1m38A=",0)</f>
        <v>0</v>
      </c>
      <c r="GL2" t="e">
        <f>AND('Discovery-Processing-QC feature'!A65,"AAAAAG1m38E=")</f>
        <v>#VALUE!</v>
      </c>
      <c r="GM2" t="e">
        <f>AND('Discovery-Processing-QC feature'!B65,"AAAAAG1m38I=")</f>
        <v>#VALUE!</v>
      </c>
      <c r="GN2" t="e">
        <f>AND('Discovery-Processing-QC feature'!C65,"AAAAAG1m38M=")</f>
        <v>#VALUE!</v>
      </c>
      <c r="GO2" t="e">
        <f>AND('Discovery-Processing-QC feature'!D65,"AAAAAG1m38Q=")</f>
        <v>#VALUE!</v>
      </c>
      <c r="GP2" t="e">
        <f>AND('Discovery-Processing-QC feature'!E65,"AAAAAG1m38U=")</f>
        <v>#VALUE!</v>
      </c>
      <c r="GQ2" t="e">
        <f>AND('Discovery-Processing-QC feature'!F65,"AAAAAG1m38Y=")</f>
        <v>#VALUE!</v>
      </c>
      <c r="GR2">
        <f>IF('Discovery-Processing-QC feature'!66:66,"AAAAAG1m38c=",0)</f>
        <v>0</v>
      </c>
      <c r="GS2" t="e">
        <f>AND('Discovery-Processing-QC feature'!A66,"AAAAAG1m38g=")</f>
        <v>#VALUE!</v>
      </c>
      <c r="GT2" t="e">
        <f>AND('Discovery-Processing-QC feature'!B66,"AAAAAG1m38k=")</f>
        <v>#VALUE!</v>
      </c>
      <c r="GU2" t="e">
        <f>AND('Discovery-Processing-QC feature'!C66,"AAAAAG1m38o=")</f>
        <v>#VALUE!</v>
      </c>
      <c r="GV2" t="e">
        <f>AND('Discovery-Processing-QC feature'!D66,"AAAAAG1m38s=")</f>
        <v>#VALUE!</v>
      </c>
      <c r="GW2" t="e">
        <f>AND('Discovery-Processing-QC feature'!E66,"AAAAAG1m38w=")</f>
        <v>#VALUE!</v>
      </c>
      <c r="GX2" t="e">
        <f>AND('Discovery-Processing-QC feature'!F66,"AAAAAG1m380=")</f>
        <v>#VALUE!</v>
      </c>
      <c r="GY2">
        <f>IF('Discovery-Processing-QC feature'!67:67,"AAAAAG1m384=",0)</f>
        <v>0</v>
      </c>
      <c r="GZ2" t="e">
        <f>AND('Discovery-Processing-QC feature'!A67,"AAAAAG1m388=")</f>
        <v>#VALUE!</v>
      </c>
      <c r="HA2" t="e">
        <f>AND('Discovery-Processing-QC feature'!B67,"AAAAAG1m39A=")</f>
        <v>#VALUE!</v>
      </c>
      <c r="HB2" t="e">
        <f>AND('Discovery-Processing-QC feature'!C67,"AAAAAG1m39E=")</f>
        <v>#VALUE!</v>
      </c>
      <c r="HC2" t="e">
        <f>AND('Discovery-Processing-QC feature'!D67,"AAAAAG1m39I=")</f>
        <v>#VALUE!</v>
      </c>
      <c r="HD2" t="e">
        <f>AND('Discovery-Processing-QC feature'!E67,"AAAAAG1m39M=")</f>
        <v>#VALUE!</v>
      </c>
      <c r="HE2" t="e">
        <f>AND('Discovery-Processing-QC feature'!F67,"AAAAAG1m39Q=")</f>
        <v>#VALUE!</v>
      </c>
      <c r="HF2">
        <f>IF('Discovery-Processing-QC feature'!68:68,"AAAAAG1m39U=",0)</f>
        <v>0</v>
      </c>
      <c r="HG2" t="e">
        <f>AND('Discovery-Processing-QC feature'!A68,"AAAAAG1m39Y=")</f>
        <v>#VALUE!</v>
      </c>
      <c r="HH2" t="e">
        <f>AND('Discovery-Processing-QC feature'!B68,"AAAAAG1m39c=")</f>
        <v>#VALUE!</v>
      </c>
      <c r="HI2" t="e">
        <f>AND('Discovery-Processing-QC feature'!C68,"AAAAAG1m39g=")</f>
        <v>#VALUE!</v>
      </c>
      <c r="HJ2" t="e">
        <f>AND('Discovery-Processing-QC feature'!D68,"AAAAAG1m39k=")</f>
        <v>#VALUE!</v>
      </c>
      <c r="HK2" t="e">
        <f>AND('Discovery-Processing-QC feature'!E68,"AAAAAG1m39o=")</f>
        <v>#VALUE!</v>
      </c>
      <c r="HL2" t="e">
        <f>AND('Discovery-Processing-QC feature'!F68,"AAAAAG1m39s=")</f>
        <v>#VALUE!</v>
      </c>
      <c r="HM2">
        <f>IF('Discovery-Processing-QC feature'!69:69,"AAAAAG1m39w=",0)</f>
        <v>0</v>
      </c>
      <c r="HN2" t="e">
        <f>AND('Discovery-Processing-QC feature'!A69,"AAAAAG1m390=")</f>
        <v>#VALUE!</v>
      </c>
      <c r="HO2" t="e">
        <f>AND('Discovery-Processing-QC feature'!B69,"AAAAAG1m394=")</f>
        <v>#VALUE!</v>
      </c>
      <c r="HP2" t="e">
        <f>AND('Discovery-Processing-QC feature'!C69,"AAAAAG1m398=")</f>
        <v>#VALUE!</v>
      </c>
      <c r="HQ2" t="e">
        <f>AND('Discovery-Processing-QC feature'!D69,"AAAAAG1m3+A=")</f>
        <v>#VALUE!</v>
      </c>
      <c r="HR2" t="e">
        <f>AND('Discovery-Processing-QC feature'!E69,"AAAAAG1m3+E=")</f>
        <v>#VALUE!</v>
      </c>
      <c r="HS2" t="e">
        <f>AND('Discovery-Processing-QC feature'!F69,"AAAAAG1m3+I=")</f>
        <v>#VALUE!</v>
      </c>
      <c r="HT2">
        <f>IF('Discovery-Processing-QC feature'!70:70,"AAAAAG1m3+M=",0)</f>
        <v>0</v>
      </c>
      <c r="HU2" t="e">
        <f>AND('Discovery-Processing-QC feature'!A70,"AAAAAG1m3+Q=")</f>
        <v>#VALUE!</v>
      </c>
      <c r="HV2" t="e">
        <f>AND('Discovery-Processing-QC feature'!B70,"AAAAAG1m3+U=")</f>
        <v>#VALUE!</v>
      </c>
      <c r="HW2" t="e">
        <f>AND('Discovery-Processing-QC feature'!C70,"AAAAAG1m3+Y=")</f>
        <v>#VALUE!</v>
      </c>
      <c r="HX2" t="e">
        <f>AND('Discovery-Processing-QC feature'!D70,"AAAAAG1m3+c=")</f>
        <v>#VALUE!</v>
      </c>
      <c r="HY2" t="e">
        <f>AND('Discovery-Processing-QC feature'!E70,"AAAAAG1m3+g=")</f>
        <v>#VALUE!</v>
      </c>
      <c r="HZ2" t="e">
        <f>AND('Discovery-Processing-QC feature'!F70,"AAAAAG1m3+k=")</f>
        <v>#VALUE!</v>
      </c>
      <c r="IA2">
        <f>IF('Discovery-Processing-QC feature'!71:71,"AAAAAG1m3+o=",0)</f>
        <v>0</v>
      </c>
      <c r="IB2" t="e">
        <f>AND('Discovery-Processing-QC feature'!A71,"AAAAAG1m3+s=")</f>
        <v>#VALUE!</v>
      </c>
      <c r="IC2" t="e">
        <f>AND('Discovery-Processing-QC feature'!B71,"AAAAAG1m3+w=")</f>
        <v>#VALUE!</v>
      </c>
      <c r="ID2" t="e">
        <f>AND('Discovery-Processing-QC feature'!C71,"AAAAAG1m3+0=")</f>
        <v>#VALUE!</v>
      </c>
      <c r="IE2" t="e">
        <f>AND('Discovery-Processing-QC feature'!D71,"AAAAAG1m3+4=")</f>
        <v>#VALUE!</v>
      </c>
      <c r="IF2" t="e">
        <f>AND('Discovery-Processing-QC feature'!E71,"AAAAAG1m3+8=")</f>
        <v>#VALUE!</v>
      </c>
      <c r="IG2" t="e">
        <f>AND('Discovery-Processing-QC feature'!F71,"AAAAAG1m3/A=")</f>
        <v>#VALUE!</v>
      </c>
      <c r="IH2">
        <f>IF('Discovery-Processing-QC feature'!72:72,"AAAAAG1m3/E=",0)</f>
        <v>0</v>
      </c>
      <c r="II2" t="e">
        <f>AND('Discovery-Processing-QC feature'!A72,"AAAAAG1m3/I=")</f>
        <v>#VALUE!</v>
      </c>
      <c r="IJ2" t="e">
        <f>AND('Discovery-Processing-QC feature'!B72,"AAAAAG1m3/M=")</f>
        <v>#VALUE!</v>
      </c>
      <c r="IK2" t="e">
        <f>AND('Discovery-Processing-QC feature'!C72,"AAAAAG1m3/Q=")</f>
        <v>#VALUE!</v>
      </c>
      <c r="IL2" t="e">
        <f>AND('Discovery-Processing-QC feature'!D72,"AAAAAG1m3/U=")</f>
        <v>#VALUE!</v>
      </c>
      <c r="IM2" t="e">
        <f>AND('Discovery-Processing-QC feature'!E72,"AAAAAG1m3/Y=")</f>
        <v>#VALUE!</v>
      </c>
      <c r="IN2" t="e">
        <f>AND('Discovery-Processing-QC feature'!F72,"AAAAAG1m3/c=")</f>
        <v>#VALUE!</v>
      </c>
      <c r="IO2">
        <f>IF('Discovery-Processing-QC feature'!73:73,"AAAAAG1m3/g=",0)</f>
        <v>0</v>
      </c>
      <c r="IP2" t="e">
        <f>AND('Discovery-Processing-QC feature'!A73,"AAAAAG1m3/k=")</f>
        <v>#VALUE!</v>
      </c>
      <c r="IQ2" t="e">
        <f>AND('Discovery-Processing-QC feature'!B73,"AAAAAG1m3/o=")</f>
        <v>#VALUE!</v>
      </c>
      <c r="IR2" t="e">
        <f>AND('Discovery-Processing-QC feature'!C73,"AAAAAG1m3/s=")</f>
        <v>#VALUE!</v>
      </c>
      <c r="IS2" t="e">
        <f>AND('Discovery-Processing-QC feature'!D73,"AAAAAG1m3/w=")</f>
        <v>#VALUE!</v>
      </c>
      <c r="IT2" t="e">
        <f>AND('Discovery-Processing-QC feature'!E73,"AAAAAG1m3/0=")</f>
        <v>#VALUE!</v>
      </c>
      <c r="IU2" t="e">
        <f>AND('Discovery-Processing-QC feature'!F73,"AAAAAG1m3/4=")</f>
        <v>#VALUE!</v>
      </c>
      <c r="IV2">
        <f>IF('Discovery-Processing-QC feature'!74:74,"AAAAAG1m3/8=",0)</f>
        <v>0</v>
      </c>
    </row>
    <row r="3" spans="1:256" x14ac:dyDescent="0.2">
      <c r="A3" t="e">
        <f>AND('Discovery-Processing-QC feature'!A74,"AAAAAER+vwA=")</f>
        <v>#VALUE!</v>
      </c>
      <c r="B3" t="e">
        <f>AND('Discovery-Processing-QC feature'!B74,"AAAAAER+vwE=")</f>
        <v>#VALUE!</v>
      </c>
      <c r="C3" t="e">
        <f>AND('Discovery-Processing-QC feature'!C74,"AAAAAER+vwI=")</f>
        <v>#VALUE!</v>
      </c>
      <c r="D3" t="e">
        <f>AND('Discovery-Processing-QC feature'!D74,"AAAAAER+vwM=")</f>
        <v>#VALUE!</v>
      </c>
      <c r="E3" t="e">
        <f>AND('Discovery-Processing-QC feature'!E74,"AAAAAER+vwQ=")</f>
        <v>#VALUE!</v>
      </c>
      <c r="F3" t="e">
        <f>AND('Discovery-Processing-QC feature'!F74,"AAAAAER+vwU=")</f>
        <v>#VALUE!</v>
      </c>
      <c r="G3">
        <f>IF('Discovery-Processing-QC feature'!75:75,"AAAAAER+vwY=",0)</f>
        <v>0</v>
      </c>
      <c r="H3" t="e">
        <f>AND('Discovery-Processing-QC feature'!A75,"AAAAAER+vwc=")</f>
        <v>#VALUE!</v>
      </c>
      <c r="I3" t="e">
        <f>AND('Discovery-Processing-QC feature'!B75,"AAAAAER+vwg=")</f>
        <v>#VALUE!</v>
      </c>
      <c r="J3" t="e">
        <f>AND('Discovery-Processing-QC feature'!C75,"AAAAAER+vwk=")</f>
        <v>#VALUE!</v>
      </c>
      <c r="K3" t="e">
        <f>AND('Discovery-Processing-QC feature'!D75,"AAAAAER+vwo=")</f>
        <v>#VALUE!</v>
      </c>
      <c r="L3" t="e">
        <f>AND('Discovery-Processing-QC feature'!E75,"AAAAAER+vws=")</f>
        <v>#VALUE!</v>
      </c>
      <c r="M3" t="e">
        <f>AND('Discovery-Processing-QC feature'!F75,"AAAAAER+vww=")</f>
        <v>#VALUE!</v>
      </c>
      <c r="N3">
        <f>IF('Discovery-Processing-QC feature'!76:76,"AAAAAER+vw0=",0)</f>
        <v>0</v>
      </c>
      <c r="O3" t="e">
        <f>AND('Discovery-Processing-QC feature'!A76,"AAAAAER+vw4=")</f>
        <v>#VALUE!</v>
      </c>
      <c r="P3" t="e">
        <f>AND('Discovery-Processing-QC feature'!B76,"AAAAAER+vw8=")</f>
        <v>#VALUE!</v>
      </c>
      <c r="Q3" t="e">
        <f>AND('Discovery-Processing-QC feature'!C76,"AAAAAER+vxA=")</f>
        <v>#VALUE!</v>
      </c>
      <c r="R3" t="e">
        <f>AND('Discovery-Processing-QC feature'!D76,"AAAAAER+vxE=")</f>
        <v>#VALUE!</v>
      </c>
      <c r="S3" t="e">
        <f>AND('Discovery-Processing-QC feature'!E76,"AAAAAER+vxI=")</f>
        <v>#VALUE!</v>
      </c>
      <c r="T3" t="e">
        <f>AND('Discovery-Processing-QC feature'!F76,"AAAAAER+vxM=")</f>
        <v>#VALUE!</v>
      </c>
      <c r="U3">
        <f>IF('Discovery-Processing-QC feature'!77:77,"AAAAAER+vxQ=",0)</f>
        <v>0</v>
      </c>
      <c r="V3" t="e">
        <f>AND('Discovery-Processing-QC feature'!A77,"AAAAAER+vxU=")</f>
        <v>#VALUE!</v>
      </c>
      <c r="W3" t="e">
        <f>AND('Discovery-Processing-QC feature'!B77,"AAAAAER+vxY=")</f>
        <v>#VALUE!</v>
      </c>
      <c r="X3" t="e">
        <f>AND('Discovery-Processing-QC feature'!C77,"AAAAAER+vxc=")</f>
        <v>#VALUE!</v>
      </c>
      <c r="Y3" t="e">
        <f>AND('Discovery-Processing-QC feature'!D77,"AAAAAER+vxg=")</f>
        <v>#VALUE!</v>
      </c>
      <c r="Z3" t="e">
        <f>AND('Discovery-Processing-QC feature'!E77,"AAAAAER+vxk=")</f>
        <v>#VALUE!</v>
      </c>
      <c r="AA3" t="e">
        <f>AND('Discovery-Processing-QC feature'!F77,"AAAAAER+vxo=")</f>
        <v>#VALUE!</v>
      </c>
      <c r="AB3">
        <f>IF('Discovery-Processing-QC feature'!78:78,"AAAAAER+vxs=",0)</f>
        <v>0</v>
      </c>
      <c r="AC3" t="e">
        <f>AND('Discovery-Processing-QC feature'!A78,"AAAAAER+vxw=")</f>
        <v>#VALUE!</v>
      </c>
      <c r="AD3" t="e">
        <f>AND('Discovery-Processing-QC feature'!B78,"AAAAAER+vx0=")</f>
        <v>#VALUE!</v>
      </c>
      <c r="AE3" t="e">
        <f>AND('Discovery-Processing-QC feature'!C78,"AAAAAER+vx4=")</f>
        <v>#VALUE!</v>
      </c>
      <c r="AF3" t="e">
        <f>AND('Discovery-Processing-QC feature'!D78,"AAAAAER+vx8=")</f>
        <v>#VALUE!</v>
      </c>
      <c r="AG3" t="e">
        <f>AND('Discovery-Processing-QC feature'!E78,"AAAAAER+vyA=")</f>
        <v>#VALUE!</v>
      </c>
      <c r="AH3" t="e">
        <f>AND('Discovery-Processing-QC feature'!F78,"AAAAAER+vyE=")</f>
        <v>#VALUE!</v>
      </c>
      <c r="AI3">
        <f>IF('Discovery-Processing-QC feature'!79:79,"AAAAAER+vyI=",0)</f>
        <v>0</v>
      </c>
      <c r="AJ3" t="e">
        <f>AND('Discovery-Processing-QC feature'!A79,"AAAAAER+vyM=")</f>
        <v>#VALUE!</v>
      </c>
      <c r="AK3" t="e">
        <f>AND('Discovery-Processing-QC feature'!B79,"AAAAAER+vyQ=")</f>
        <v>#VALUE!</v>
      </c>
      <c r="AL3" t="e">
        <f>AND('Discovery-Processing-QC feature'!C79,"AAAAAER+vyU=")</f>
        <v>#VALUE!</v>
      </c>
      <c r="AM3" t="e">
        <f>AND('Discovery-Processing-QC feature'!D79,"AAAAAER+vyY=")</f>
        <v>#VALUE!</v>
      </c>
      <c r="AN3" t="e">
        <f>AND('Discovery-Processing-QC feature'!E79,"AAAAAER+vyc=")</f>
        <v>#VALUE!</v>
      </c>
      <c r="AO3" t="e">
        <f>AND('Discovery-Processing-QC feature'!F79,"AAAAAER+vyg=")</f>
        <v>#VALUE!</v>
      </c>
      <c r="AP3">
        <f>IF('Discovery-Processing-QC feature'!80:80,"AAAAAER+vyk=",0)</f>
        <v>0</v>
      </c>
      <c r="AQ3" t="e">
        <f>AND('Discovery-Processing-QC feature'!A80,"AAAAAER+vyo=")</f>
        <v>#VALUE!</v>
      </c>
      <c r="AR3" t="e">
        <f>AND('Discovery-Processing-QC feature'!B80,"AAAAAER+vys=")</f>
        <v>#VALUE!</v>
      </c>
      <c r="AS3" t="e">
        <f>AND('Discovery-Processing-QC feature'!C80,"AAAAAER+vyw=")</f>
        <v>#VALUE!</v>
      </c>
      <c r="AT3" t="e">
        <f>AND('Discovery-Processing-QC feature'!D80,"AAAAAER+vy0=")</f>
        <v>#VALUE!</v>
      </c>
      <c r="AU3" t="e">
        <f>AND('Discovery-Processing-QC feature'!E80,"AAAAAER+vy4=")</f>
        <v>#VALUE!</v>
      </c>
      <c r="AV3" t="e">
        <f>AND('Discovery-Processing-QC feature'!F80,"AAAAAER+vy8=")</f>
        <v>#VALUE!</v>
      </c>
      <c r="AW3">
        <f>IF('Discovery-Processing-QC feature'!81:81,"AAAAAER+vzA=",0)</f>
        <v>0</v>
      </c>
      <c r="AX3" t="e">
        <f>AND('Discovery-Processing-QC feature'!A81,"AAAAAER+vzE=")</f>
        <v>#VALUE!</v>
      </c>
      <c r="AY3" t="e">
        <f>AND('Discovery-Processing-QC feature'!B81,"AAAAAER+vzI=")</f>
        <v>#VALUE!</v>
      </c>
      <c r="AZ3" t="e">
        <f>AND('Discovery-Processing-QC feature'!C81,"AAAAAER+vzM=")</f>
        <v>#VALUE!</v>
      </c>
      <c r="BA3" t="e">
        <f>AND('Discovery-Processing-QC feature'!D81,"AAAAAER+vzQ=")</f>
        <v>#VALUE!</v>
      </c>
      <c r="BB3" t="e">
        <f>AND('Discovery-Processing-QC feature'!E81,"AAAAAER+vzU=")</f>
        <v>#VALUE!</v>
      </c>
      <c r="BC3" t="e">
        <f>AND('Discovery-Processing-QC feature'!F81,"AAAAAER+vzY=")</f>
        <v>#VALUE!</v>
      </c>
      <c r="BD3">
        <f>IF('Discovery-Processing-QC feature'!82:82,"AAAAAER+vzc=",0)</f>
        <v>0</v>
      </c>
      <c r="BE3" t="e">
        <f>AND('Discovery-Processing-QC feature'!A82,"AAAAAER+vzg=")</f>
        <v>#VALUE!</v>
      </c>
      <c r="BF3" t="e">
        <f>AND('Discovery-Processing-QC feature'!B82,"AAAAAER+vzk=")</f>
        <v>#VALUE!</v>
      </c>
      <c r="BG3" t="e">
        <f>AND('Discovery-Processing-QC feature'!C82,"AAAAAER+vzo=")</f>
        <v>#VALUE!</v>
      </c>
      <c r="BH3" t="e">
        <f>AND('Discovery-Processing-QC feature'!D82,"AAAAAER+vzs=")</f>
        <v>#VALUE!</v>
      </c>
      <c r="BI3" t="e">
        <f>AND('Discovery-Processing-QC feature'!E82,"AAAAAER+vzw=")</f>
        <v>#VALUE!</v>
      </c>
      <c r="BJ3" t="e">
        <f>AND('Discovery-Processing-QC feature'!F82,"AAAAAER+vz0=")</f>
        <v>#VALUE!</v>
      </c>
      <c r="BK3">
        <f>IF('Discovery-Processing-QC feature'!83:83,"AAAAAER+vz4=",0)</f>
        <v>0</v>
      </c>
      <c r="BL3" t="e">
        <f>AND('Discovery-Processing-QC feature'!A83,"AAAAAER+vz8=")</f>
        <v>#VALUE!</v>
      </c>
      <c r="BM3" t="e">
        <f>AND('Discovery-Processing-QC feature'!B83,"AAAAAER+v0A=")</f>
        <v>#VALUE!</v>
      </c>
      <c r="BN3" t="e">
        <f>AND('Discovery-Processing-QC feature'!C83,"AAAAAER+v0E=")</f>
        <v>#VALUE!</v>
      </c>
      <c r="BO3" t="e">
        <f>AND('Discovery-Processing-QC feature'!D83,"AAAAAER+v0I=")</f>
        <v>#VALUE!</v>
      </c>
      <c r="BP3" t="e">
        <f>AND('Discovery-Processing-QC feature'!E83,"AAAAAER+v0M=")</f>
        <v>#VALUE!</v>
      </c>
      <c r="BQ3" t="e">
        <f>AND('Discovery-Processing-QC feature'!F83,"AAAAAER+v0Q=")</f>
        <v>#VALUE!</v>
      </c>
      <c r="BR3">
        <f>IF('Discovery-Processing-QC feature'!84:84,"AAAAAER+v0U=",0)</f>
        <v>0</v>
      </c>
      <c r="BS3" t="e">
        <f>AND('Discovery-Processing-QC feature'!A84,"AAAAAER+v0Y=")</f>
        <v>#VALUE!</v>
      </c>
      <c r="BT3" t="e">
        <f>AND('Discovery-Processing-QC feature'!B84,"AAAAAER+v0c=")</f>
        <v>#VALUE!</v>
      </c>
      <c r="BU3" t="e">
        <f>AND('Discovery-Processing-QC feature'!C84,"AAAAAER+v0g=")</f>
        <v>#VALUE!</v>
      </c>
      <c r="BV3" t="e">
        <f>AND('Discovery-Processing-QC feature'!D84,"AAAAAER+v0k=")</f>
        <v>#VALUE!</v>
      </c>
      <c r="BW3" t="e">
        <f>AND('Discovery-Processing-QC feature'!E84,"AAAAAER+v0o=")</f>
        <v>#VALUE!</v>
      </c>
      <c r="BX3" t="e">
        <f>AND('Discovery-Processing-QC feature'!F84,"AAAAAER+v0s=")</f>
        <v>#VALUE!</v>
      </c>
      <c r="BY3">
        <f>IF('Discovery-Processing-QC feature'!85:85,"AAAAAER+v0w=",0)</f>
        <v>0</v>
      </c>
      <c r="BZ3" t="e">
        <f>AND('Discovery-Processing-QC feature'!A85,"AAAAAER+v00=")</f>
        <v>#VALUE!</v>
      </c>
      <c r="CA3" t="e">
        <f>AND('Discovery-Processing-QC feature'!B85,"AAAAAER+v04=")</f>
        <v>#VALUE!</v>
      </c>
      <c r="CB3" t="e">
        <f>AND('Discovery-Processing-QC feature'!C85,"AAAAAER+v08=")</f>
        <v>#VALUE!</v>
      </c>
      <c r="CC3" t="e">
        <f>AND('Discovery-Processing-QC feature'!D85,"AAAAAER+v1A=")</f>
        <v>#VALUE!</v>
      </c>
      <c r="CD3" t="e">
        <f>AND('Discovery-Processing-QC feature'!E85,"AAAAAER+v1E=")</f>
        <v>#VALUE!</v>
      </c>
      <c r="CE3" t="e">
        <f>AND('Discovery-Processing-QC feature'!F85,"AAAAAER+v1I=")</f>
        <v>#VALUE!</v>
      </c>
      <c r="CF3">
        <f>IF('Discovery-Processing-QC feature'!86:86,"AAAAAER+v1M=",0)</f>
        <v>0</v>
      </c>
      <c r="CG3" t="e">
        <f>AND('Discovery-Processing-QC feature'!A86,"AAAAAER+v1Q=")</f>
        <v>#VALUE!</v>
      </c>
      <c r="CH3" t="e">
        <f>AND('Discovery-Processing-QC feature'!B86,"AAAAAER+v1U=")</f>
        <v>#VALUE!</v>
      </c>
      <c r="CI3" t="e">
        <f>AND('Discovery-Processing-QC feature'!C86,"AAAAAER+v1Y=")</f>
        <v>#VALUE!</v>
      </c>
      <c r="CJ3" t="e">
        <f>AND('Discovery-Processing-QC feature'!D86,"AAAAAER+v1c=")</f>
        <v>#VALUE!</v>
      </c>
      <c r="CK3" t="e">
        <f>AND('Discovery-Processing-QC feature'!E86,"AAAAAER+v1g=")</f>
        <v>#VALUE!</v>
      </c>
      <c r="CL3" t="e">
        <f>AND('Discovery-Processing-QC feature'!F86,"AAAAAER+v1k=")</f>
        <v>#VALUE!</v>
      </c>
      <c r="CM3">
        <f>IF('Discovery-Processing-QC feature'!87:87,"AAAAAER+v1o=",0)</f>
        <v>0</v>
      </c>
      <c r="CN3" t="e">
        <f>AND('Discovery-Processing-QC feature'!A87,"AAAAAER+v1s=")</f>
        <v>#VALUE!</v>
      </c>
      <c r="CO3" t="e">
        <f>AND('Discovery-Processing-QC feature'!B87,"AAAAAER+v1w=")</f>
        <v>#VALUE!</v>
      </c>
      <c r="CP3" t="e">
        <f>AND('Discovery-Processing-QC feature'!C87,"AAAAAER+v10=")</f>
        <v>#VALUE!</v>
      </c>
      <c r="CQ3" t="e">
        <f>AND('Discovery-Processing-QC feature'!D87,"AAAAAER+v14=")</f>
        <v>#VALUE!</v>
      </c>
      <c r="CR3" t="e">
        <f>AND('Discovery-Processing-QC feature'!E87,"AAAAAER+v18=")</f>
        <v>#VALUE!</v>
      </c>
      <c r="CS3" t="e">
        <f>AND('Discovery-Processing-QC feature'!F87,"AAAAAER+v2A=")</f>
        <v>#VALUE!</v>
      </c>
      <c r="CT3">
        <f>IF('Discovery-Processing-QC feature'!88:88,"AAAAAER+v2E=",0)</f>
        <v>0</v>
      </c>
      <c r="CU3" t="e">
        <f>AND('Discovery-Processing-QC feature'!A88,"AAAAAER+v2I=")</f>
        <v>#VALUE!</v>
      </c>
      <c r="CV3" t="e">
        <f>AND('Discovery-Processing-QC feature'!B88,"AAAAAER+v2M=")</f>
        <v>#VALUE!</v>
      </c>
      <c r="CW3" t="e">
        <f>AND('Discovery-Processing-QC feature'!C88,"AAAAAER+v2Q=")</f>
        <v>#VALUE!</v>
      </c>
      <c r="CX3" t="e">
        <f>AND('Discovery-Processing-QC feature'!D88,"AAAAAER+v2U=")</f>
        <v>#VALUE!</v>
      </c>
      <c r="CY3" t="e">
        <f>AND('Discovery-Processing-QC feature'!E88,"AAAAAER+v2Y=")</f>
        <v>#VALUE!</v>
      </c>
      <c r="CZ3" t="e">
        <f>AND('Discovery-Processing-QC feature'!F88,"AAAAAER+v2c=")</f>
        <v>#VALUE!</v>
      </c>
      <c r="DA3">
        <f>IF('Discovery-Processing-QC feature'!89:89,"AAAAAER+v2g=",0)</f>
        <v>0</v>
      </c>
      <c r="DB3" t="e">
        <f>AND('Discovery-Processing-QC feature'!A89,"AAAAAER+v2k=")</f>
        <v>#VALUE!</v>
      </c>
      <c r="DC3" t="e">
        <f>AND('Discovery-Processing-QC feature'!B89,"AAAAAER+v2o=")</f>
        <v>#VALUE!</v>
      </c>
      <c r="DD3" t="e">
        <f>AND('Discovery-Processing-QC feature'!C89,"AAAAAER+v2s=")</f>
        <v>#VALUE!</v>
      </c>
      <c r="DE3" t="e">
        <f>AND('Discovery-Processing-QC feature'!D89,"AAAAAER+v2w=")</f>
        <v>#VALUE!</v>
      </c>
      <c r="DF3" t="e">
        <f>AND('Discovery-Processing-QC feature'!E89,"AAAAAER+v20=")</f>
        <v>#VALUE!</v>
      </c>
      <c r="DG3" t="e">
        <f>AND('Discovery-Processing-QC feature'!F89,"AAAAAER+v24=")</f>
        <v>#VALUE!</v>
      </c>
      <c r="DH3">
        <f>IF('Discovery-Processing-QC feature'!90:90,"AAAAAER+v28=",0)</f>
        <v>0</v>
      </c>
      <c r="DI3" t="e">
        <f>AND('Discovery-Processing-QC feature'!A90,"AAAAAER+v3A=")</f>
        <v>#VALUE!</v>
      </c>
      <c r="DJ3" t="e">
        <f>AND('Discovery-Processing-QC feature'!B90,"AAAAAER+v3E=")</f>
        <v>#VALUE!</v>
      </c>
      <c r="DK3" t="e">
        <f>AND('Discovery-Processing-QC feature'!C90,"AAAAAER+v3I=")</f>
        <v>#VALUE!</v>
      </c>
      <c r="DL3" t="e">
        <f>AND('Discovery-Processing-QC feature'!D90,"AAAAAER+v3M=")</f>
        <v>#VALUE!</v>
      </c>
      <c r="DM3" t="e">
        <f>AND('Discovery-Processing-QC feature'!E90,"AAAAAER+v3Q=")</f>
        <v>#VALUE!</v>
      </c>
      <c r="DN3" t="e">
        <f>AND('Discovery-Processing-QC feature'!F90,"AAAAAER+v3U=")</f>
        <v>#VALUE!</v>
      </c>
      <c r="DO3">
        <f>IF('Discovery-Processing-QC feature'!91:91,"AAAAAER+v3Y=",0)</f>
        <v>0</v>
      </c>
      <c r="DP3" t="e">
        <f>AND('Discovery-Processing-QC feature'!A91,"AAAAAER+v3c=")</f>
        <v>#VALUE!</v>
      </c>
      <c r="DQ3" t="e">
        <f>AND('Discovery-Processing-QC feature'!B91,"AAAAAER+v3g=")</f>
        <v>#VALUE!</v>
      </c>
      <c r="DR3" t="e">
        <f>AND('Discovery-Processing-QC feature'!C91,"AAAAAER+v3k=")</f>
        <v>#VALUE!</v>
      </c>
      <c r="DS3" t="e">
        <f>AND('Discovery-Processing-QC feature'!D91,"AAAAAER+v3o=")</f>
        <v>#VALUE!</v>
      </c>
      <c r="DT3" t="e">
        <f>AND('Discovery-Processing-QC feature'!E91,"AAAAAER+v3s=")</f>
        <v>#VALUE!</v>
      </c>
      <c r="DU3" t="e">
        <f>AND('Discovery-Processing-QC feature'!F91,"AAAAAER+v3w=")</f>
        <v>#VALUE!</v>
      </c>
      <c r="DV3">
        <f>IF('Discovery-Processing-QC feature'!92:92,"AAAAAER+v30=",0)</f>
        <v>0</v>
      </c>
      <c r="DW3" t="e">
        <f>AND('Discovery-Processing-QC feature'!A92,"AAAAAER+v34=")</f>
        <v>#VALUE!</v>
      </c>
      <c r="DX3" t="e">
        <f>AND('Discovery-Processing-QC feature'!B92,"AAAAAER+v38=")</f>
        <v>#VALUE!</v>
      </c>
      <c r="DY3" t="e">
        <f>AND('Discovery-Processing-QC feature'!C92,"AAAAAER+v4A=")</f>
        <v>#VALUE!</v>
      </c>
      <c r="DZ3" t="e">
        <f>AND('Discovery-Processing-QC feature'!D92,"AAAAAER+v4E=")</f>
        <v>#VALUE!</v>
      </c>
      <c r="EA3" t="e">
        <f>AND('Discovery-Processing-QC feature'!E92,"AAAAAER+v4I=")</f>
        <v>#VALUE!</v>
      </c>
      <c r="EB3" t="e">
        <f>AND('Discovery-Processing-QC feature'!F92,"AAAAAER+v4M=")</f>
        <v>#VALUE!</v>
      </c>
      <c r="EC3">
        <f>IF('Discovery-Processing-QC feature'!93:93,"AAAAAER+v4Q=",0)</f>
        <v>0</v>
      </c>
      <c r="ED3" t="e">
        <f>AND('Discovery-Processing-QC feature'!A93,"AAAAAER+v4U=")</f>
        <v>#VALUE!</v>
      </c>
      <c r="EE3" t="e">
        <f>AND('Discovery-Processing-QC feature'!B93,"AAAAAER+v4Y=")</f>
        <v>#VALUE!</v>
      </c>
      <c r="EF3" t="e">
        <f>AND('Discovery-Processing-QC feature'!C93,"AAAAAER+v4c=")</f>
        <v>#VALUE!</v>
      </c>
      <c r="EG3" t="e">
        <f>AND('Discovery-Processing-QC feature'!D93,"AAAAAER+v4g=")</f>
        <v>#VALUE!</v>
      </c>
      <c r="EH3" t="e">
        <f>AND('Discovery-Processing-QC feature'!E93,"AAAAAER+v4k=")</f>
        <v>#VALUE!</v>
      </c>
      <c r="EI3" t="e">
        <f>AND('Discovery-Processing-QC feature'!F93,"AAAAAER+v4o=")</f>
        <v>#VALUE!</v>
      </c>
      <c r="EJ3">
        <f>IF('Discovery-Processing-QC feature'!94:94,"AAAAAER+v4s=",0)</f>
        <v>0</v>
      </c>
      <c r="EK3" t="e">
        <f>AND('Discovery-Processing-QC feature'!A94,"AAAAAER+v4w=")</f>
        <v>#VALUE!</v>
      </c>
      <c r="EL3" t="e">
        <f>AND('Discovery-Processing-QC feature'!B94,"AAAAAER+v40=")</f>
        <v>#VALUE!</v>
      </c>
      <c r="EM3" t="e">
        <f>AND('Discovery-Processing-QC feature'!C94,"AAAAAER+v44=")</f>
        <v>#VALUE!</v>
      </c>
      <c r="EN3" t="e">
        <f>AND('Discovery-Processing-QC feature'!D94,"AAAAAER+v48=")</f>
        <v>#VALUE!</v>
      </c>
      <c r="EO3" t="e">
        <f>AND('Discovery-Processing-QC feature'!E94,"AAAAAER+v5A=")</f>
        <v>#VALUE!</v>
      </c>
      <c r="EP3" t="e">
        <f>AND('Discovery-Processing-QC feature'!F94,"AAAAAER+v5E=")</f>
        <v>#VALUE!</v>
      </c>
      <c r="EQ3">
        <f>IF('Discovery-Processing-QC feature'!95:95,"AAAAAER+v5I=",0)</f>
        <v>0</v>
      </c>
      <c r="ER3" t="e">
        <f>AND('Discovery-Processing-QC feature'!A95,"AAAAAER+v5M=")</f>
        <v>#VALUE!</v>
      </c>
      <c r="ES3" t="e">
        <f>AND('Discovery-Processing-QC feature'!B95,"AAAAAER+v5Q=")</f>
        <v>#VALUE!</v>
      </c>
      <c r="ET3" t="e">
        <f>AND('Discovery-Processing-QC feature'!C95,"AAAAAER+v5U=")</f>
        <v>#VALUE!</v>
      </c>
      <c r="EU3" t="e">
        <f>AND('Discovery-Processing-QC feature'!D95,"AAAAAER+v5Y=")</f>
        <v>#VALUE!</v>
      </c>
      <c r="EV3" t="e">
        <f>AND('Discovery-Processing-QC feature'!E95,"AAAAAER+v5c=")</f>
        <v>#VALUE!</v>
      </c>
      <c r="EW3" t="e">
        <f>AND('Discovery-Processing-QC feature'!F95,"AAAAAER+v5g=")</f>
        <v>#VALUE!</v>
      </c>
      <c r="EX3">
        <f>IF('Discovery-Processing-QC feature'!96:96,"AAAAAER+v5k=",0)</f>
        <v>0</v>
      </c>
      <c r="EY3" t="e">
        <f>AND('Discovery-Processing-QC feature'!A96,"AAAAAER+v5o=")</f>
        <v>#VALUE!</v>
      </c>
      <c r="EZ3" t="e">
        <f>AND('Discovery-Processing-QC feature'!B96,"AAAAAER+v5s=")</f>
        <v>#VALUE!</v>
      </c>
      <c r="FA3" t="e">
        <f>AND('Discovery-Processing-QC feature'!C96,"AAAAAER+v5w=")</f>
        <v>#VALUE!</v>
      </c>
      <c r="FB3" t="e">
        <f>AND('Discovery-Processing-QC feature'!D96,"AAAAAER+v50=")</f>
        <v>#VALUE!</v>
      </c>
      <c r="FC3" t="e">
        <f>AND('Discovery-Processing-QC feature'!E96,"AAAAAER+v54=")</f>
        <v>#VALUE!</v>
      </c>
      <c r="FD3" t="e">
        <f>AND('Discovery-Processing-QC feature'!F96,"AAAAAER+v58=")</f>
        <v>#VALUE!</v>
      </c>
      <c r="FE3">
        <f>IF('Discovery-Processing-QC feature'!97:97,"AAAAAER+v6A=",0)</f>
        <v>0</v>
      </c>
      <c r="FF3" t="e">
        <f>AND('Discovery-Processing-QC feature'!A97,"AAAAAER+v6E=")</f>
        <v>#VALUE!</v>
      </c>
      <c r="FG3" t="e">
        <f>AND('Discovery-Processing-QC feature'!B97,"AAAAAER+v6I=")</f>
        <v>#VALUE!</v>
      </c>
      <c r="FH3" t="e">
        <f>AND('Discovery-Processing-QC feature'!C97,"AAAAAER+v6M=")</f>
        <v>#VALUE!</v>
      </c>
      <c r="FI3" t="e">
        <f>AND('Discovery-Processing-QC feature'!D97,"AAAAAER+v6Q=")</f>
        <v>#VALUE!</v>
      </c>
      <c r="FJ3" t="e">
        <f>AND('Discovery-Processing-QC feature'!E97,"AAAAAER+v6U=")</f>
        <v>#VALUE!</v>
      </c>
      <c r="FK3" t="e">
        <f>AND('Discovery-Processing-QC feature'!F97,"AAAAAER+v6Y=")</f>
        <v>#VALUE!</v>
      </c>
      <c r="FL3">
        <f>IF('Discovery-Processing-QC feature'!98:98,"AAAAAER+v6c=",0)</f>
        <v>0</v>
      </c>
      <c r="FM3" t="e">
        <f>AND('Discovery-Processing-QC feature'!A98,"AAAAAER+v6g=")</f>
        <v>#VALUE!</v>
      </c>
      <c r="FN3" t="e">
        <f>AND('Discovery-Processing-QC feature'!B98,"AAAAAER+v6k=")</f>
        <v>#VALUE!</v>
      </c>
      <c r="FO3" t="e">
        <f>AND('Discovery-Processing-QC feature'!C98,"AAAAAER+v6o=")</f>
        <v>#VALUE!</v>
      </c>
      <c r="FP3" t="e">
        <f>AND('Discovery-Processing-QC feature'!D98,"AAAAAER+v6s=")</f>
        <v>#VALUE!</v>
      </c>
      <c r="FQ3" t="e">
        <f>AND('Discovery-Processing-QC feature'!E98,"AAAAAER+v6w=")</f>
        <v>#VALUE!</v>
      </c>
      <c r="FR3" t="e">
        <f>AND('Discovery-Processing-QC feature'!F98,"AAAAAER+v60=")</f>
        <v>#VALUE!</v>
      </c>
      <c r="FS3">
        <f>IF('Discovery-Processing-QC feature'!99:99,"AAAAAER+v64=",0)</f>
        <v>0</v>
      </c>
      <c r="FT3" t="e">
        <f>AND('Discovery-Processing-QC feature'!A99,"AAAAAER+v68=")</f>
        <v>#VALUE!</v>
      </c>
      <c r="FU3" t="e">
        <f>AND('Discovery-Processing-QC feature'!B99,"AAAAAER+v7A=")</f>
        <v>#VALUE!</v>
      </c>
      <c r="FV3" t="e">
        <f>AND('Discovery-Processing-QC feature'!C99,"AAAAAER+v7E=")</f>
        <v>#VALUE!</v>
      </c>
      <c r="FW3" t="e">
        <f>AND('Discovery-Processing-QC feature'!D99,"AAAAAER+v7I=")</f>
        <v>#VALUE!</v>
      </c>
      <c r="FX3" t="e">
        <f>AND('Discovery-Processing-QC feature'!E99,"AAAAAER+v7M=")</f>
        <v>#VALUE!</v>
      </c>
      <c r="FY3" t="e">
        <f>AND('Discovery-Processing-QC feature'!F99,"AAAAAER+v7Q=")</f>
        <v>#VALUE!</v>
      </c>
      <c r="FZ3">
        <f>IF('Discovery-Processing-QC feature'!100:100,"AAAAAER+v7U=",0)</f>
        <v>0</v>
      </c>
      <c r="GA3" t="e">
        <f>AND('Discovery-Processing-QC feature'!A100,"AAAAAER+v7Y=")</f>
        <v>#VALUE!</v>
      </c>
      <c r="GB3" t="e">
        <f>AND('Discovery-Processing-QC feature'!B100,"AAAAAER+v7c=")</f>
        <v>#VALUE!</v>
      </c>
      <c r="GC3" t="e">
        <f>AND('Discovery-Processing-QC feature'!C100,"AAAAAER+v7g=")</f>
        <v>#VALUE!</v>
      </c>
      <c r="GD3" t="e">
        <f>AND('Discovery-Processing-QC feature'!D100,"AAAAAER+v7k=")</f>
        <v>#VALUE!</v>
      </c>
      <c r="GE3" t="e">
        <f>AND('Discovery-Processing-QC feature'!E100,"AAAAAER+v7o=")</f>
        <v>#VALUE!</v>
      </c>
      <c r="GF3" t="e">
        <f>AND('Discovery-Processing-QC feature'!F100,"AAAAAER+v7s=")</f>
        <v>#VALUE!</v>
      </c>
      <c r="GG3">
        <f>IF('Discovery-Processing-QC feature'!101:101,"AAAAAER+v7w=",0)</f>
        <v>0</v>
      </c>
      <c r="GH3" t="e">
        <f>AND('Discovery-Processing-QC feature'!A101,"AAAAAER+v70=")</f>
        <v>#VALUE!</v>
      </c>
      <c r="GI3" t="e">
        <f>AND('Discovery-Processing-QC feature'!B101,"AAAAAER+v74=")</f>
        <v>#VALUE!</v>
      </c>
      <c r="GJ3" t="e">
        <f>AND('Discovery-Processing-QC feature'!C101,"AAAAAER+v78=")</f>
        <v>#VALUE!</v>
      </c>
      <c r="GK3" t="e">
        <f>AND('Discovery-Processing-QC feature'!D101,"AAAAAER+v8A=")</f>
        <v>#VALUE!</v>
      </c>
      <c r="GL3" t="e">
        <f>AND('Discovery-Processing-QC feature'!E101,"AAAAAER+v8E=")</f>
        <v>#VALUE!</v>
      </c>
      <c r="GM3" t="e">
        <f>AND('Discovery-Processing-QC feature'!F101,"AAAAAER+v8I=")</f>
        <v>#VALUE!</v>
      </c>
      <c r="GN3">
        <f>IF('Discovery-Processing-QC feature'!102:102,"AAAAAER+v8M=",0)</f>
        <v>0</v>
      </c>
      <c r="GO3" t="e">
        <f>AND('Discovery-Processing-QC feature'!A102,"AAAAAER+v8Q=")</f>
        <v>#VALUE!</v>
      </c>
      <c r="GP3" t="e">
        <f>AND('Discovery-Processing-QC feature'!B102,"AAAAAER+v8U=")</f>
        <v>#VALUE!</v>
      </c>
      <c r="GQ3" t="e">
        <f>AND('Discovery-Processing-QC feature'!C102,"AAAAAER+v8Y=")</f>
        <v>#VALUE!</v>
      </c>
      <c r="GR3" t="e">
        <f>AND('Discovery-Processing-QC feature'!D102,"AAAAAER+v8c=")</f>
        <v>#VALUE!</v>
      </c>
      <c r="GS3" t="e">
        <f>AND('Discovery-Processing-QC feature'!E102,"AAAAAER+v8g=")</f>
        <v>#VALUE!</v>
      </c>
      <c r="GT3" t="e">
        <f>AND('Discovery-Processing-QC feature'!F102,"AAAAAER+v8k=")</f>
        <v>#VALUE!</v>
      </c>
      <c r="GU3">
        <f>IF('Discovery-Processing-QC feature'!103:103,"AAAAAER+v8o=",0)</f>
        <v>0</v>
      </c>
      <c r="GV3" t="e">
        <f>AND('Discovery-Processing-QC feature'!A103,"AAAAAER+v8s=")</f>
        <v>#VALUE!</v>
      </c>
      <c r="GW3" t="e">
        <f>AND('Discovery-Processing-QC feature'!B103,"AAAAAER+v8w=")</f>
        <v>#VALUE!</v>
      </c>
      <c r="GX3" t="e">
        <f>AND('Discovery-Processing-QC feature'!C103,"AAAAAER+v80=")</f>
        <v>#VALUE!</v>
      </c>
      <c r="GY3" t="e">
        <f>AND('Discovery-Processing-QC feature'!D103,"AAAAAER+v84=")</f>
        <v>#VALUE!</v>
      </c>
      <c r="GZ3" t="e">
        <f>AND('Discovery-Processing-QC feature'!E103,"AAAAAER+v88=")</f>
        <v>#VALUE!</v>
      </c>
      <c r="HA3" t="e">
        <f>AND('Discovery-Processing-QC feature'!F103,"AAAAAER+v9A=")</f>
        <v>#VALUE!</v>
      </c>
      <c r="HB3">
        <f>IF('Discovery-Processing-QC feature'!104:104,"AAAAAER+v9E=",0)</f>
        <v>0</v>
      </c>
      <c r="HC3" t="e">
        <f>AND('Discovery-Processing-QC feature'!A104,"AAAAAER+v9I=")</f>
        <v>#VALUE!</v>
      </c>
      <c r="HD3" t="e">
        <f>AND('Discovery-Processing-QC feature'!B104,"AAAAAER+v9M=")</f>
        <v>#VALUE!</v>
      </c>
      <c r="HE3" t="e">
        <f>AND('Discovery-Processing-QC feature'!C104,"AAAAAER+v9Q=")</f>
        <v>#VALUE!</v>
      </c>
      <c r="HF3" t="e">
        <f>AND('Discovery-Processing-QC feature'!D104,"AAAAAER+v9U=")</f>
        <v>#VALUE!</v>
      </c>
      <c r="HG3" t="e">
        <f>AND('Discovery-Processing-QC feature'!E104,"AAAAAER+v9Y=")</f>
        <v>#VALUE!</v>
      </c>
      <c r="HH3" t="e">
        <f>AND('Discovery-Processing-QC feature'!F104,"AAAAAER+v9c=")</f>
        <v>#VALUE!</v>
      </c>
      <c r="HI3">
        <f>IF('Discovery-Processing-QC feature'!105:105,"AAAAAER+v9g=",0)</f>
        <v>0</v>
      </c>
      <c r="HJ3" t="e">
        <f>AND('Discovery-Processing-QC feature'!A105,"AAAAAER+v9k=")</f>
        <v>#VALUE!</v>
      </c>
      <c r="HK3" t="e">
        <f>AND('Discovery-Processing-QC feature'!B105,"AAAAAER+v9o=")</f>
        <v>#VALUE!</v>
      </c>
      <c r="HL3" t="e">
        <f>AND('Discovery-Processing-QC feature'!C105,"AAAAAER+v9s=")</f>
        <v>#VALUE!</v>
      </c>
      <c r="HM3" t="e">
        <f>AND('Discovery-Processing-QC feature'!D105,"AAAAAER+v9w=")</f>
        <v>#VALUE!</v>
      </c>
      <c r="HN3" t="e">
        <f>AND('Discovery-Processing-QC feature'!E105,"AAAAAER+v90=")</f>
        <v>#VALUE!</v>
      </c>
      <c r="HO3" t="e">
        <f>AND('Discovery-Processing-QC feature'!F105,"AAAAAER+v94=")</f>
        <v>#VALUE!</v>
      </c>
      <c r="HP3">
        <f>IF('Discovery-Processing-QC feature'!106:106,"AAAAAER+v98=",0)</f>
        <v>0</v>
      </c>
      <c r="HQ3" t="e">
        <f>AND('Discovery-Processing-QC feature'!A106,"AAAAAER+v+A=")</f>
        <v>#VALUE!</v>
      </c>
      <c r="HR3" t="e">
        <f>AND('Discovery-Processing-QC feature'!B106,"AAAAAER+v+E=")</f>
        <v>#VALUE!</v>
      </c>
      <c r="HS3" t="e">
        <f>AND('Discovery-Processing-QC feature'!C106,"AAAAAER+v+I=")</f>
        <v>#VALUE!</v>
      </c>
      <c r="HT3" t="e">
        <f>AND('Discovery-Processing-QC feature'!D106,"AAAAAER+v+M=")</f>
        <v>#VALUE!</v>
      </c>
      <c r="HU3" t="e">
        <f>AND('Discovery-Processing-QC feature'!E106,"AAAAAER+v+Q=")</f>
        <v>#VALUE!</v>
      </c>
      <c r="HV3" t="e">
        <f>AND('Discovery-Processing-QC feature'!F106,"AAAAAER+v+U=")</f>
        <v>#VALUE!</v>
      </c>
      <c r="HW3">
        <f>IF('Discovery-Processing-QC feature'!107:107,"AAAAAER+v+Y=",0)</f>
        <v>0</v>
      </c>
      <c r="HX3" t="e">
        <f>AND('Discovery-Processing-QC feature'!A107,"AAAAAER+v+c=")</f>
        <v>#VALUE!</v>
      </c>
      <c r="HY3" t="e">
        <f>AND('Discovery-Processing-QC feature'!B107,"AAAAAER+v+g=")</f>
        <v>#VALUE!</v>
      </c>
      <c r="HZ3" t="e">
        <f>AND('Discovery-Processing-QC feature'!C107,"AAAAAER+v+k=")</f>
        <v>#VALUE!</v>
      </c>
      <c r="IA3" t="e">
        <f>AND('Discovery-Processing-QC feature'!D107,"AAAAAER+v+o=")</f>
        <v>#VALUE!</v>
      </c>
      <c r="IB3" t="e">
        <f>AND('Discovery-Processing-QC feature'!E107,"AAAAAER+v+s=")</f>
        <v>#VALUE!</v>
      </c>
      <c r="IC3" t="e">
        <f>AND('Discovery-Processing-QC feature'!F107,"AAAAAER+v+w=")</f>
        <v>#VALUE!</v>
      </c>
      <c r="ID3">
        <f>IF('Discovery-Processing-QC feature'!108:108,"AAAAAER+v+0=",0)</f>
        <v>0</v>
      </c>
      <c r="IE3" t="e">
        <f>AND('Discovery-Processing-QC feature'!A108,"AAAAAER+v+4=")</f>
        <v>#VALUE!</v>
      </c>
      <c r="IF3" t="e">
        <f>AND('Discovery-Processing-QC feature'!B108,"AAAAAER+v+8=")</f>
        <v>#VALUE!</v>
      </c>
      <c r="IG3" t="e">
        <f>AND('Discovery-Processing-QC feature'!C108,"AAAAAER+v/A=")</f>
        <v>#VALUE!</v>
      </c>
      <c r="IH3" t="e">
        <f>AND('Discovery-Processing-QC feature'!D108,"AAAAAER+v/E=")</f>
        <v>#VALUE!</v>
      </c>
      <c r="II3" t="e">
        <f>AND('Discovery-Processing-QC feature'!E108,"AAAAAER+v/I=")</f>
        <v>#VALUE!</v>
      </c>
      <c r="IJ3" t="e">
        <f>AND('Discovery-Processing-QC feature'!F108,"AAAAAER+v/M=")</f>
        <v>#VALUE!</v>
      </c>
      <c r="IK3">
        <f>IF('Discovery-Processing-QC feature'!109:109,"AAAAAER+v/Q=",0)</f>
        <v>0</v>
      </c>
      <c r="IL3" t="e">
        <f>AND('Discovery-Processing-QC feature'!A109,"AAAAAER+v/U=")</f>
        <v>#VALUE!</v>
      </c>
      <c r="IM3" t="e">
        <f>AND('Discovery-Processing-QC feature'!B109,"AAAAAER+v/Y=")</f>
        <v>#VALUE!</v>
      </c>
      <c r="IN3" t="e">
        <f>AND('Discovery-Processing-QC feature'!C109,"AAAAAER+v/c=")</f>
        <v>#VALUE!</v>
      </c>
      <c r="IO3" t="e">
        <f>AND('Discovery-Processing-QC feature'!D109,"AAAAAER+v/g=")</f>
        <v>#VALUE!</v>
      </c>
      <c r="IP3" t="e">
        <f>AND('Discovery-Processing-QC feature'!E109,"AAAAAER+v/k=")</f>
        <v>#VALUE!</v>
      </c>
      <c r="IQ3" t="e">
        <f>AND('Discovery-Processing-QC feature'!F109,"AAAAAER+v/o=")</f>
        <v>#VALUE!</v>
      </c>
      <c r="IR3">
        <f>IF('Discovery-Processing-QC feature'!110:110,"AAAAAER+v/s=",0)</f>
        <v>0</v>
      </c>
      <c r="IS3" t="e">
        <f>AND('Discovery-Processing-QC feature'!A110,"AAAAAER+v/w=")</f>
        <v>#VALUE!</v>
      </c>
      <c r="IT3" t="e">
        <f>AND('Discovery-Processing-QC feature'!B110,"AAAAAER+v/0=")</f>
        <v>#VALUE!</v>
      </c>
      <c r="IU3" t="e">
        <f>AND('Discovery-Processing-QC feature'!C110,"AAAAAER+v/4=")</f>
        <v>#VALUE!</v>
      </c>
      <c r="IV3" t="e">
        <f>AND('Discovery-Processing-QC feature'!D110,"AAAAAER+v/8=")</f>
        <v>#VALUE!</v>
      </c>
    </row>
    <row r="4" spans="1:256" x14ac:dyDescent="0.2">
      <c r="A4" t="e">
        <f>AND('Discovery-Processing-QC feature'!E110,"AAAAAD/3/gA=")</f>
        <v>#VALUE!</v>
      </c>
      <c r="B4" t="e">
        <f>AND('Discovery-Processing-QC feature'!F110,"AAAAAD/3/gE=")</f>
        <v>#VALUE!</v>
      </c>
      <c r="C4" t="e">
        <f>IF('Discovery-Processing-QC feature'!111:111,"AAAAAD/3/gI=",0)</f>
        <v>#VALUE!</v>
      </c>
      <c r="D4" t="e">
        <f>AND('Discovery-Processing-QC feature'!A111,"AAAAAD/3/gM=")</f>
        <v>#VALUE!</v>
      </c>
      <c r="E4" t="e">
        <f>AND('Discovery-Processing-QC feature'!B111,"AAAAAD/3/gQ=")</f>
        <v>#VALUE!</v>
      </c>
      <c r="F4" t="e">
        <f>AND('Discovery-Processing-QC feature'!C111,"AAAAAD/3/gU=")</f>
        <v>#VALUE!</v>
      </c>
      <c r="G4" t="e">
        <f>AND('Discovery-Processing-QC feature'!D111,"AAAAAD/3/gY=")</f>
        <v>#VALUE!</v>
      </c>
      <c r="H4" t="e">
        <f>AND('Discovery-Processing-QC feature'!E111,"AAAAAD/3/gc=")</f>
        <v>#VALUE!</v>
      </c>
      <c r="I4" t="e">
        <f>AND('Discovery-Processing-QC feature'!F111,"AAAAAD/3/gg=")</f>
        <v>#VALUE!</v>
      </c>
      <c r="J4">
        <f>IF('Discovery-Processing-QC feature'!112:112,"AAAAAD/3/gk=",0)</f>
        <v>0</v>
      </c>
      <c r="K4" t="e">
        <f>AND('Discovery-Processing-QC feature'!A112,"AAAAAD/3/go=")</f>
        <v>#VALUE!</v>
      </c>
      <c r="L4" t="e">
        <f>AND('Discovery-Processing-QC feature'!B112,"AAAAAD/3/gs=")</f>
        <v>#VALUE!</v>
      </c>
      <c r="M4" t="e">
        <f>AND('Discovery-Processing-QC feature'!C112,"AAAAAD/3/gw=")</f>
        <v>#VALUE!</v>
      </c>
      <c r="N4" t="e">
        <f>AND('Discovery-Processing-QC feature'!D112,"AAAAAD/3/g0=")</f>
        <v>#VALUE!</v>
      </c>
      <c r="O4" t="e">
        <f>AND('Discovery-Processing-QC feature'!E112,"AAAAAD/3/g4=")</f>
        <v>#VALUE!</v>
      </c>
      <c r="P4" t="e">
        <f>AND('Discovery-Processing-QC feature'!F112,"AAAAAD/3/g8=")</f>
        <v>#VALUE!</v>
      </c>
      <c r="Q4">
        <f>IF('Discovery-Processing-QC feature'!113:113,"AAAAAD/3/hA=",0)</f>
        <v>0</v>
      </c>
      <c r="R4" t="e">
        <f>AND('Discovery-Processing-QC feature'!A113,"AAAAAD/3/hE=")</f>
        <v>#VALUE!</v>
      </c>
      <c r="S4" t="e">
        <f>AND('Discovery-Processing-QC feature'!B113,"AAAAAD/3/hI=")</f>
        <v>#VALUE!</v>
      </c>
      <c r="T4" t="e">
        <f>AND('Discovery-Processing-QC feature'!C113,"AAAAAD/3/hM=")</f>
        <v>#VALUE!</v>
      </c>
      <c r="U4" t="e">
        <f>AND('Discovery-Processing-QC feature'!D113,"AAAAAD/3/hQ=")</f>
        <v>#VALUE!</v>
      </c>
      <c r="V4" t="e">
        <f>AND('Discovery-Processing-QC feature'!E113,"AAAAAD/3/hU=")</f>
        <v>#VALUE!</v>
      </c>
      <c r="W4" t="e">
        <f>AND('Discovery-Processing-QC feature'!F113,"AAAAAD/3/hY=")</f>
        <v>#VALUE!</v>
      </c>
      <c r="X4">
        <f>IF('Discovery-Processing-QC feature'!114:114,"AAAAAD/3/hc=",0)</f>
        <v>0</v>
      </c>
      <c r="Y4" t="e">
        <f>AND('Discovery-Processing-QC feature'!A114,"AAAAAD/3/hg=")</f>
        <v>#VALUE!</v>
      </c>
      <c r="Z4" t="e">
        <f>AND('Discovery-Processing-QC feature'!B114,"AAAAAD/3/hk=")</f>
        <v>#VALUE!</v>
      </c>
      <c r="AA4" t="e">
        <f>AND('Discovery-Processing-QC feature'!C114,"AAAAAD/3/ho=")</f>
        <v>#VALUE!</v>
      </c>
      <c r="AB4" t="e">
        <f>AND('Discovery-Processing-QC feature'!D114,"AAAAAD/3/hs=")</f>
        <v>#VALUE!</v>
      </c>
      <c r="AC4" t="e">
        <f>AND('Discovery-Processing-QC feature'!E114,"AAAAAD/3/hw=")</f>
        <v>#VALUE!</v>
      </c>
      <c r="AD4" t="e">
        <f>AND('Discovery-Processing-QC feature'!F114,"AAAAAD/3/h0=")</f>
        <v>#VALUE!</v>
      </c>
      <c r="AE4">
        <f>IF('Discovery-Processing-QC feature'!115:115,"AAAAAD/3/h4=",0)</f>
        <v>0</v>
      </c>
      <c r="AF4" t="e">
        <f>AND('Discovery-Processing-QC feature'!A115,"AAAAAD/3/h8=")</f>
        <v>#VALUE!</v>
      </c>
      <c r="AG4" t="e">
        <f>AND('Discovery-Processing-QC feature'!B115,"AAAAAD/3/iA=")</f>
        <v>#VALUE!</v>
      </c>
      <c r="AH4" t="e">
        <f>AND('Discovery-Processing-QC feature'!C115,"AAAAAD/3/iE=")</f>
        <v>#VALUE!</v>
      </c>
      <c r="AI4" t="e">
        <f>AND('Discovery-Processing-QC feature'!D115,"AAAAAD/3/iI=")</f>
        <v>#VALUE!</v>
      </c>
      <c r="AJ4" t="e">
        <f>AND('Discovery-Processing-QC feature'!E115,"AAAAAD/3/iM=")</f>
        <v>#VALUE!</v>
      </c>
      <c r="AK4" t="e">
        <f>AND('Discovery-Processing-QC feature'!F115,"AAAAAD/3/iQ=")</f>
        <v>#VALUE!</v>
      </c>
      <c r="AL4">
        <f>IF('Discovery-Processing-QC feature'!116:116,"AAAAAD/3/iU=",0)</f>
        <v>0</v>
      </c>
      <c r="AM4" t="e">
        <f>AND('Discovery-Processing-QC feature'!A116,"AAAAAD/3/iY=")</f>
        <v>#VALUE!</v>
      </c>
      <c r="AN4" t="e">
        <f>AND('Discovery-Processing-QC feature'!B116,"AAAAAD/3/ic=")</f>
        <v>#VALUE!</v>
      </c>
      <c r="AO4" t="e">
        <f>AND('Discovery-Processing-QC feature'!C116,"AAAAAD/3/ig=")</f>
        <v>#VALUE!</v>
      </c>
      <c r="AP4" t="e">
        <f>AND('Discovery-Processing-QC feature'!D116,"AAAAAD/3/ik=")</f>
        <v>#VALUE!</v>
      </c>
      <c r="AQ4" t="e">
        <f>AND('Discovery-Processing-QC feature'!E116,"AAAAAD/3/io=")</f>
        <v>#VALUE!</v>
      </c>
      <c r="AR4" t="e">
        <f>AND('Discovery-Processing-QC feature'!F116,"AAAAAD/3/is=")</f>
        <v>#VALUE!</v>
      </c>
      <c r="AS4">
        <f>IF('Discovery-Processing-QC feature'!117:117,"AAAAAD/3/iw=",0)</f>
        <v>0</v>
      </c>
      <c r="AT4" t="e">
        <f>AND('Discovery-Processing-QC feature'!A117,"AAAAAD/3/i0=")</f>
        <v>#VALUE!</v>
      </c>
      <c r="AU4" t="e">
        <f>AND('Discovery-Processing-QC feature'!B117,"AAAAAD/3/i4=")</f>
        <v>#VALUE!</v>
      </c>
      <c r="AV4" t="e">
        <f>AND('Discovery-Processing-QC feature'!C117,"AAAAAD/3/i8=")</f>
        <v>#VALUE!</v>
      </c>
      <c r="AW4" t="e">
        <f>AND('Discovery-Processing-QC feature'!D117,"AAAAAD/3/jA=")</f>
        <v>#VALUE!</v>
      </c>
      <c r="AX4" t="e">
        <f>AND('Discovery-Processing-QC feature'!E117,"AAAAAD/3/jE=")</f>
        <v>#VALUE!</v>
      </c>
      <c r="AY4" t="e">
        <f>AND('Discovery-Processing-QC feature'!F117,"AAAAAD/3/jI=")</f>
        <v>#VALUE!</v>
      </c>
      <c r="AZ4">
        <f>IF('Discovery-Processing-QC feature'!118:118,"AAAAAD/3/jM=",0)</f>
        <v>0</v>
      </c>
      <c r="BA4" t="e">
        <f>AND('Discovery-Processing-QC feature'!A118,"AAAAAD/3/jQ=")</f>
        <v>#VALUE!</v>
      </c>
      <c r="BB4" t="e">
        <f>AND('Discovery-Processing-QC feature'!B118,"AAAAAD/3/jU=")</f>
        <v>#VALUE!</v>
      </c>
      <c r="BC4" t="e">
        <f>AND('Discovery-Processing-QC feature'!C118,"AAAAAD/3/jY=")</f>
        <v>#VALUE!</v>
      </c>
      <c r="BD4" t="e">
        <f>AND('Discovery-Processing-QC feature'!D118,"AAAAAD/3/jc=")</f>
        <v>#VALUE!</v>
      </c>
      <c r="BE4" t="e">
        <f>AND('Discovery-Processing-QC feature'!E118,"AAAAAD/3/jg=")</f>
        <v>#VALUE!</v>
      </c>
      <c r="BF4" t="e">
        <f>AND('Discovery-Processing-QC feature'!F118,"AAAAAD/3/jk=")</f>
        <v>#VALUE!</v>
      </c>
      <c r="BG4">
        <f>IF('Discovery-Processing-QC feature'!119:119,"AAAAAD/3/jo=",0)</f>
        <v>0</v>
      </c>
      <c r="BH4" t="e">
        <f>AND('Discovery-Processing-QC feature'!A119,"AAAAAD/3/js=")</f>
        <v>#VALUE!</v>
      </c>
      <c r="BI4" t="e">
        <f>AND('Discovery-Processing-QC feature'!B119,"AAAAAD/3/jw=")</f>
        <v>#VALUE!</v>
      </c>
      <c r="BJ4" t="e">
        <f>AND('Discovery-Processing-QC feature'!C119,"AAAAAD/3/j0=")</f>
        <v>#VALUE!</v>
      </c>
      <c r="BK4" t="e">
        <f>AND('Discovery-Processing-QC feature'!D119,"AAAAAD/3/j4=")</f>
        <v>#VALUE!</v>
      </c>
      <c r="BL4" t="e">
        <f>AND('Discovery-Processing-QC feature'!E119,"AAAAAD/3/j8=")</f>
        <v>#VALUE!</v>
      </c>
      <c r="BM4" t="e">
        <f>AND('Discovery-Processing-QC feature'!F119,"AAAAAD/3/kA=")</f>
        <v>#VALUE!</v>
      </c>
      <c r="BN4">
        <f>IF('Discovery-Processing-QC feature'!120:120,"AAAAAD/3/kE=",0)</f>
        <v>0</v>
      </c>
      <c r="BO4" t="e">
        <f>AND('Discovery-Processing-QC feature'!A120,"AAAAAD/3/kI=")</f>
        <v>#VALUE!</v>
      </c>
      <c r="BP4" t="e">
        <f>AND('Discovery-Processing-QC feature'!B120,"AAAAAD/3/kM=")</f>
        <v>#VALUE!</v>
      </c>
      <c r="BQ4" t="e">
        <f>AND('Discovery-Processing-QC feature'!C120,"AAAAAD/3/kQ=")</f>
        <v>#VALUE!</v>
      </c>
      <c r="BR4" t="e">
        <f>AND('Discovery-Processing-QC feature'!D120,"AAAAAD/3/kU=")</f>
        <v>#VALUE!</v>
      </c>
      <c r="BS4" t="e">
        <f>AND('Discovery-Processing-QC feature'!E120,"AAAAAD/3/kY=")</f>
        <v>#VALUE!</v>
      </c>
      <c r="BT4" t="e">
        <f>AND('Discovery-Processing-QC feature'!F120,"AAAAAD/3/kc=")</f>
        <v>#VALUE!</v>
      </c>
      <c r="BU4">
        <f>IF('Discovery-Processing-QC feature'!121:121,"AAAAAD/3/kg=",0)</f>
        <v>0</v>
      </c>
      <c r="BV4" t="e">
        <f>AND('Discovery-Processing-QC feature'!A121,"AAAAAD/3/kk=")</f>
        <v>#VALUE!</v>
      </c>
      <c r="BW4" t="e">
        <f>AND('Discovery-Processing-QC feature'!B121,"AAAAAD/3/ko=")</f>
        <v>#VALUE!</v>
      </c>
      <c r="BX4" t="e">
        <f>AND('Discovery-Processing-QC feature'!C121,"AAAAAD/3/ks=")</f>
        <v>#VALUE!</v>
      </c>
      <c r="BY4" t="e">
        <f>AND('Discovery-Processing-QC feature'!D121,"AAAAAD/3/kw=")</f>
        <v>#VALUE!</v>
      </c>
      <c r="BZ4" t="e">
        <f>AND('Discovery-Processing-QC feature'!E121,"AAAAAD/3/k0=")</f>
        <v>#VALUE!</v>
      </c>
      <c r="CA4" t="e">
        <f>AND('Discovery-Processing-QC feature'!F121,"AAAAAD/3/k4=")</f>
        <v>#VALUE!</v>
      </c>
      <c r="CB4">
        <f>IF('Discovery-Processing-QC feature'!122:122,"AAAAAD/3/k8=",0)</f>
        <v>0</v>
      </c>
      <c r="CC4" t="e">
        <f>AND('Discovery-Processing-QC feature'!A122,"AAAAAD/3/lA=")</f>
        <v>#VALUE!</v>
      </c>
      <c r="CD4" t="e">
        <f>AND('Discovery-Processing-QC feature'!B122,"AAAAAD/3/lE=")</f>
        <v>#VALUE!</v>
      </c>
      <c r="CE4" t="e">
        <f>AND('Discovery-Processing-QC feature'!C122,"AAAAAD/3/lI=")</f>
        <v>#VALUE!</v>
      </c>
      <c r="CF4" t="e">
        <f>AND('Discovery-Processing-QC feature'!D122,"AAAAAD/3/lM=")</f>
        <v>#VALUE!</v>
      </c>
      <c r="CG4" t="e">
        <f>AND('Discovery-Processing-QC feature'!E122,"AAAAAD/3/lQ=")</f>
        <v>#VALUE!</v>
      </c>
      <c r="CH4" t="e">
        <f>AND('Discovery-Processing-QC feature'!F122,"AAAAAD/3/lU=")</f>
        <v>#VALUE!</v>
      </c>
      <c r="CI4">
        <f>IF('Discovery-Processing-QC feature'!123:123,"AAAAAD/3/lY=",0)</f>
        <v>0</v>
      </c>
      <c r="CJ4" t="e">
        <f>AND('Discovery-Processing-QC feature'!A123,"AAAAAD/3/lc=")</f>
        <v>#VALUE!</v>
      </c>
      <c r="CK4" t="e">
        <f>AND('Discovery-Processing-QC feature'!B123,"AAAAAD/3/lg=")</f>
        <v>#VALUE!</v>
      </c>
      <c r="CL4" t="e">
        <f>AND('Discovery-Processing-QC feature'!C123,"AAAAAD/3/lk=")</f>
        <v>#VALUE!</v>
      </c>
      <c r="CM4" t="e">
        <f>AND('Discovery-Processing-QC feature'!D123,"AAAAAD/3/lo=")</f>
        <v>#VALUE!</v>
      </c>
      <c r="CN4" t="e">
        <f>AND('Discovery-Processing-QC feature'!E123,"AAAAAD/3/ls=")</f>
        <v>#VALUE!</v>
      </c>
      <c r="CO4" t="e">
        <f>AND('Discovery-Processing-QC feature'!F123,"AAAAAD/3/lw=")</f>
        <v>#VALUE!</v>
      </c>
      <c r="CP4">
        <f>IF('Discovery-Processing-QC feature'!124:124,"AAAAAD/3/l0=",0)</f>
        <v>0</v>
      </c>
      <c r="CQ4" t="e">
        <f>AND('Discovery-Processing-QC feature'!A124,"AAAAAD/3/l4=")</f>
        <v>#VALUE!</v>
      </c>
      <c r="CR4" t="e">
        <f>AND('Discovery-Processing-QC feature'!B124,"AAAAAD/3/l8=")</f>
        <v>#VALUE!</v>
      </c>
      <c r="CS4" t="e">
        <f>AND('Discovery-Processing-QC feature'!C124,"AAAAAD/3/mA=")</f>
        <v>#VALUE!</v>
      </c>
      <c r="CT4" t="e">
        <f>AND('Discovery-Processing-QC feature'!D124,"AAAAAD/3/mE=")</f>
        <v>#VALUE!</v>
      </c>
      <c r="CU4" t="e">
        <f>AND('Discovery-Processing-QC feature'!E124,"AAAAAD/3/mI=")</f>
        <v>#VALUE!</v>
      </c>
      <c r="CV4" t="e">
        <f>AND('Discovery-Processing-QC feature'!F124,"AAAAAD/3/mM=")</f>
        <v>#VALUE!</v>
      </c>
      <c r="CW4">
        <f>IF('Discovery-Processing-QC feature'!125:125,"AAAAAD/3/mQ=",0)</f>
        <v>0</v>
      </c>
      <c r="CX4" t="e">
        <f>AND('Discovery-Processing-QC feature'!A125,"AAAAAD/3/mU=")</f>
        <v>#VALUE!</v>
      </c>
      <c r="CY4" t="e">
        <f>AND('Discovery-Processing-QC feature'!B125,"AAAAAD/3/mY=")</f>
        <v>#VALUE!</v>
      </c>
      <c r="CZ4" t="e">
        <f>AND('Discovery-Processing-QC feature'!C125,"AAAAAD/3/mc=")</f>
        <v>#VALUE!</v>
      </c>
      <c r="DA4" t="e">
        <f>AND('Discovery-Processing-QC feature'!D125,"AAAAAD/3/mg=")</f>
        <v>#VALUE!</v>
      </c>
      <c r="DB4" t="e">
        <f>AND('Discovery-Processing-QC feature'!E125,"AAAAAD/3/mk=")</f>
        <v>#VALUE!</v>
      </c>
      <c r="DC4" t="e">
        <f>AND('Discovery-Processing-QC feature'!F125,"AAAAAD/3/mo=")</f>
        <v>#VALUE!</v>
      </c>
      <c r="DD4">
        <f>IF('Discovery-Processing-QC feature'!126:126,"AAAAAD/3/ms=",0)</f>
        <v>0</v>
      </c>
      <c r="DE4" t="e">
        <f>AND('Discovery-Processing-QC feature'!A126,"AAAAAD/3/mw=")</f>
        <v>#VALUE!</v>
      </c>
      <c r="DF4" t="e">
        <f>AND('Discovery-Processing-QC feature'!B126,"AAAAAD/3/m0=")</f>
        <v>#VALUE!</v>
      </c>
      <c r="DG4" t="e">
        <f>AND('Discovery-Processing-QC feature'!C126,"AAAAAD/3/m4=")</f>
        <v>#VALUE!</v>
      </c>
      <c r="DH4" t="e">
        <f>AND('Discovery-Processing-QC feature'!D126,"AAAAAD/3/m8=")</f>
        <v>#VALUE!</v>
      </c>
      <c r="DI4" t="e">
        <f>AND('Discovery-Processing-QC feature'!E126,"AAAAAD/3/nA=")</f>
        <v>#VALUE!</v>
      </c>
      <c r="DJ4" t="e">
        <f>AND('Discovery-Processing-QC feature'!F126,"AAAAAD/3/nE=")</f>
        <v>#VALUE!</v>
      </c>
      <c r="DK4">
        <f>IF('Discovery-Processing-QC feature'!127:127,"AAAAAD/3/nI=",0)</f>
        <v>0</v>
      </c>
      <c r="DL4" t="e">
        <f>AND('Discovery-Processing-QC feature'!A127,"AAAAAD/3/nM=")</f>
        <v>#VALUE!</v>
      </c>
      <c r="DM4" t="e">
        <f>AND('Discovery-Processing-QC feature'!B127,"AAAAAD/3/nQ=")</f>
        <v>#VALUE!</v>
      </c>
      <c r="DN4" t="e">
        <f>AND('Discovery-Processing-QC feature'!C127,"AAAAAD/3/nU=")</f>
        <v>#VALUE!</v>
      </c>
      <c r="DO4" t="e">
        <f>AND('Discovery-Processing-QC feature'!D127,"AAAAAD/3/nY=")</f>
        <v>#VALUE!</v>
      </c>
      <c r="DP4" t="e">
        <f>AND('Discovery-Processing-QC feature'!E127,"AAAAAD/3/nc=")</f>
        <v>#VALUE!</v>
      </c>
      <c r="DQ4" t="e">
        <f>AND('Discovery-Processing-QC feature'!F127,"AAAAAD/3/ng=")</f>
        <v>#VALUE!</v>
      </c>
      <c r="DR4">
        <f>IF('Discovery-Processing-QC feature'!128:128,"AAAAAD/3/nk=",0)</f>
        <v>0</v>
      </c>
      <c r="DS4" t="e">
        <f>AND('Discovery-Processing-QC feature'!A128,"AAAAAD/3/no=")</f>
        <v>#VALUE!</v>
      </c>
      <c r="DT4" t="e">
        <f>AND('Discovery-Processing-QC feature'!B128,"AAAAAD/3/ns=")</f>
        <v>#VALUE!</v>
      </c>
      <c r="DU4" t="e">
        <f>AND('Discovery-Processing-QC feature'!C128,"AAAAAD/3/nw=")</f>
        <v>#VALUE!</v>
      </c>
      <c r="DV4" t="e">
        <f>AND('Discovery-Processing-QC feature'!D128,"AAAAAD/3/n0=")</f>
        <v>#VALUE!</v>
      </c>
      <c r="DW4" t="e">
        <f>AND('Discovery-Processing-QC feature'!E128,"AAAAAD/3/n4=")</f>
        <v>#VALUE!</v>
      </c>
      <c r="DX4" t="e">
        <f>AND('Discovery-Processing-QC feature'!F128,"AAAAAD/3/n8=")</f>
        <v>#VALUE!</v>
      </c>
      <c r="DY4">
        <f>IF('Discovery-Processing-QC feature'!129:129,"AAAAAD/3/oA=",0)</f>
        <v>0</v>
      </c>
      <c r="DZ4" t="e">
        <f>AND('Discovery-Processing-QC feature'!A129,"AAAAAD/3/oE=")</f>
        <v>#VALUE!</v>
      </c>
      <c r="EA4" t="e">
        <f>AND('Discovery-Processing-QC feature'!B129,"AAAAAD/3/oI=")</f>
        <v>#VALUE!</v>
      </c>
      <c r="EB4" t="e">
        <f>AND('Discovery-Processing-QC feature'!C129,"AAAAAD/3/oM=")</f>
        <v>#VALUE!</v>
      </c>
      <c r="EC4" t="e">
        <f>AND('Discovery-Processing-QC feature'!D129,"AAAAAD/3/oQ=")</f>
        <v>#VALUE!</v>
      </c>
      <c r="ED4" t="e">
        <f>AND('Discovery-Processing-QC feature'!E129,"AAAAAD/3/oU=")</f>
        <v>#VALUE!</v>
      </c>
      <c r="EE4" t="e">
        <f>AND('Discovery-Processing-QC feature'!F129,"AAAAAD/3/oY=")</f>
        <v>#VALUE!</v>
      </c>
      <c r="EF4">
        <f>IF('Discovery-Processing-QC feature'!130:130,"AAAAAD/3/oc=",0)</f>
        <v>0</v>
      </c>
      <c r="EG4" t="e">
        <f>AND('Discovery-Processing-QC feature'!A130,"AAAAAD/3/og=")</f>
        <v>#VALUE!</v>
      </c>
      <c r="EH4" t="e">
        <f>AND('Discovery-Processing-QC feature'!B130,"AAAAAD/3/ok=")</f>
        <v>#VALUE!</v>
      </c>
      <c r="EI4" t="e">
        <f>AND('Discovery-Processing-QC feature'!C130,"AAAAAD/3/oo=")</f>
        <v>#VALUE!</v>
      </c>
      <c r="EJ4" t="e">
        <f>AND('Discovery-Processing-QC feature'!D130,"AAAAAD/3/os=")</f>
        <v>#VALUE!</v>
      </c>
      <c r="EK4" t="e">
        <f>AND('Discovery-Processing-QC feature'!E130,"AAAAAD/3/ow=")</f>
        <v>#VALUE!</v>
      </c>
      <c r="EL4" t="e">
        <f>AND('Discovery-Processing-QC feature'!F130,"AAAAAD/3/o0=")</f>
        <v>#VALUE!</v>
      </c>
      <c r="EM4">
        <f>IF('Discovery-Processing-QC feature'!131:131,"AAAAAD/3/o4=",0)</f>
        <v>0</v>
      </c>
      <c r="EN4" t="e">
        <f>AND('Discovery-Processing-QC feature'!A131,"AAAAAD/3/o8=")</f>
        <v>#VALUE!</v>
      </c>
      <c r="EO4" t="e">
        <f>AND('Discovery-Processing-QC feature'!B131,"AAAAAD/3/pA=")</f>
        <v>#VALUE!</v>
      </c>
      <c r="EP4" t="e">
        <f>AND('Discovery-Processing-QC feature'!C131,"AAAAAD/3/pE=")</f>
        <v>#VALUE!</v>
      </c>
      <c r="EQ4" t="e">
        <f>AND('Discovery-Processing-QC feature'!D131,"AAAAAD/3/pI=")</f>
        <v>#VALUE!</v>
      </c>
      <c r="ER4" t="e">
        <f>AND('Discovery-Processing-QC feature'!E131,"AAAAAD/3/pM=")</f>
        <v>#VALUE!</v>
      </c>
      <c r="ES4" t="e">
        <f>AND('Discovery-Processing-QC feature'!F131,"AAAAAD/3/pQ=")</f>
        <v>#VALUE!</v>
      </c>
      <c r="ET4">
        <f>IF('Discovery-Processing-QC feature'!132:132,"AAAAAD/3/pU=",0)</f>
        <v>0</v>
      </c>
      <c r="EU4" t="e">
        <f>AND('Discovery-Processing-QC feature'!A132,"AAAAAD/3/pY=")</f>
        <v>#VALUE!</v>
      </c>
      <c r="EV4" t="e">
        <f>AND('Discovery-Processing-QC feature'!B132,"AAAAAD/3/pc=")</f>
        <v>#VALUE!</v>
      </c>
      <c r="EW4" t="e">
        <f>AND('Discovery-Processing-QC feature'!C132,"AAAAAD/3/pg=")</f>
        <v>#VALUE!</v>
      </c>
      <c r="EX4" t="e">
        <f>AND('Discovery-Processing-QC feature'!D132,"AAAAAD/3/pk=")</f>
        <v>#VALUE!</v>
      </c>
      <c r="EY4" t="e">
        <f>AND('Discovery-Processing-QC feature'!E132,"AAAAAD/3/po=")</f>
        <v>#VALUE!</v>
      </c>
      <c r="EZ4" t="e">
        <f>AND('Discovery-Processing-QC feature'!F132,"AAAAAD/3/ps=")</f>
        <v>#VALUE!</v>
      </c>
      <c r="FA4">
        <f>IF('Discovery-Processing-QC feature'!133:133,"AAAAAD/3/pw=",0)</f>
        <v>0</v>
      </c>
      <c r="FB4" t="e">
        <f>AND('Discovery-Processing-QC feature'!A133,"AAAAAD/3/p0=")</f>
        <v>#VALUE!</v>
      </c>
      <c r="FC4" t="e">
        <f>AND('Discovery-Processing-QC feature'!B133,"AAAAAD/3/p4=")</f>
        <v>#VALUE!</v>
      </c>
      <c r="FD4" t="e">
        <f>AND('Discovery-Processing-QC feature'!C133,"AAAAAD/3/p8=")</f>
        <v>#VALUE!</v>
      </c>
      <c r="FE4" t="e">
        <f>AND('Discovery-Processing-QC feature'!D133,"AAAAAD/3/qA=")</f>
        <v>#VALUE!</v>
      </c>
      <c r="FF4" t="e">
        <f>AND('Discovery-Processing-QC feature'!E133,"AAAAAD/3/qE=")</f>
        <v>#VALUE!</v>
      </c>
      <c r="FG4" t="e">
        <f>AND('Discovery-Processing-QC feature'!F133,"AAAAAD/3/qI=")</f>
        <v>#VALUE!</v>
      </c>
      <c r="FH4">
        <f>IF('Discovery-Processing-QC feature'!134:134,"AAAAAD/3/qM=",0)</f>
        <v>0</v>
      </c>
      <c r="FI4" t="e">
        <f>AND('Discovery-Processing-QC feature'!A134,"AAAAAD/3/qQ=")</f>
        <v>#VALUE!</v>
      </c>
      <c r="FJ4" t="e">
        <f>AND('Discovery-Processing-QC feature'!B134,"AAAAAD/3/qU=")</f>
        <v>#VALUE!</v>
      </c>
      <c r="FK4" t="e">
        <f>AND('Discovery-Processing-QC feature'!C134,"AAAAAD/3/qY=")</f>
        <v>#VALUE!</v>
      </c>
      <c r="FL4" t="e">
        <f>AND('Discovery-Processing-QC feature'!D134,"AAAAAD/3/qc=")</f>
        <v>#VALUE!</v>
      </c>
      <c r="FM4" t="e">
        <f>AND('Discovery-Processing-QC feature'!E134,"AAAAAD/3/qg=")</f>
        <v>#VALUE!</v>
      </c>
      <c r="FN4" t="e">
        <f>AND('Discovery-Processing-QC feature'!F134,"AAAAAD/3/qk=")</f>
        <v>#VALUE!</v>
      </c>
      <c r="FO4">
        <f>IF('Discovery-Processing-QC feature'!135:135,"AAAAAD/3/qo=",0)</f>
        <v>0</v>
      </c>
      <c r="FP4" t="e">
        <f>AND('Discovery-Processing-QC feature'!A135,"AAAAAD/3/qs=")</f>
        <v>#VALUE!</v>
      </c>
      <c r="FQ4" t="e">
        <f>AND('Discovery-Processing-QC feature'!B135,"AAAAAD/3/qw=")</f>
        <v>#VALUE!</v>
      </c>
      <c r="FR4" t="e">
        <f>AND('Discovery-Processing-QC feature'!C135,"AAAAAD/3/q0=")</f>
        <v>#VALUE!</v>
      </c>
      <c r="FS4" t="e">
        <f>AND('Discovery-Processing-QC feature'!D135,"AAAAAD/3/q4=")</f>
        <v>#VALUE!</v>
      </c>
      <c r="FT4" t="e">
        <f>AND('Discovery-Processing-QC feature'!E135,"AAAAAD/3/q8=")</f>
        <v>#VALUE!</v>
      </c>
      <c r="FU4" t="e">
        <f>AND('Discovery-Processing-QC feature'!F135,"AAAAAD/3/rA=")</f>
        <v>#VALUE!</v>
      </c>
      <c r="FV4">
        <f>IF('Discovery-Processing-QC feature'!136:136,"AAAAAD/3/rE=",0)</f>
        <v>0</v>
      </c>
      <c r="FW4" t="e">
        <f>AND('Discovery-Processing-QC feature'!A136,"AAAAAD/3/rI=")</f>
        <v>#VALUE!</v>
      </c>
      <c r="FX4" t="e">
        <f>AND('Discovery-Processing-QC feature'!B136,"AAAAAD/3/rM=")</f>
        <v>#VALUE!</v>
      </c>
      <c r="FY4" t="e">
        <f>AND('Discovery-Processing-QC feature'!C136,"AAAAAD/3/rQ=")</f>
        <v>#VALUE!</v>
      </c>
      <c r="FZ4" t="e">
        <f>AND('Discovery-Processing-QC feature'!D136,"AAAAAD/3/rU=")</f>
        <v>#VALUE!</v>
      </c>
      <c r="GA4" t="e">
        <f>AND('Discovery-Processing-QC feature'!E136,"AAAAAD/3/rY=")</f>
        <v>#VALUE!</v>
      </c>
      <c r="GB4" t="e">
        <f>AND('Discovery-Processing-QC feature'!F136,"AAAAAD/3/rc=")</f>
        <v>#VALUE!</v>
      </c>
      <c r="GC4">
        <f>IF('Discovery-Processing-QC feature'!137:137,"AAAAAD/3/rg=",0)</f>
        <v>0</v>
      </c>
      <c r="GD4" t="e">
        <f>AND('Discovery-Processing-QC feature'!A137,"AAAAAD/3/rk=")</f>
        <v>#VALUE!</v>
      </c>
      <c r="GE4" t="e">
        <f>AND('Discovery-Processing-QC feature'!B137,"AAAAAD/3/ro=")</f>
        <v>#VALUE!</v>
      </c>
      <c r="GF4" t="e">
        <f>AND('Discovery-Processing-QC feature'!C137,"AAAAAD/3/rs=")</f>
        <v>#VALUE!</v>
      </c>
      <c r="GG4" t="e">
        <f>AND('Discovery-Processing-QC feature'!D137,"AAAAAD/3/rw=")</f>
        <v>#VALUE!</v>
      </c>
      <c r="GH4" t="e">
        <f>AND('Discovery-Processing-QC feature'!E137,"AAAAAD/3/r0=")</f>
        <v>#VALUE!</v>
      </c>
      <c r="GI4" t="e">
        <f>AND('Discovery-Processing-QC feature'!F137,"AAAAAD/3/r4=")</f>
        <v>#VALUE!</v>
      </c>
      <c r="GJ4">
        <f>IF('Discovery-Processing-QC feature'!138:138,"AAAAAD/3/r8=",0)</f>
        <v>0</v>
      </c>
      <c r="GK4" t="e">
        <f>AND('Discovery-Processing-QC feature'!A138,"AAAAAD/3/sA=")</f>
        <v>#VALUE!</v>
      </c>
      <c r="GL4" t="e">
        <f>AND('Discovery-Processing-QC feature'!B138,"AAAAAD/3/sE=")</f>
        <v>#VALUE!</v>
      </c>
      <c r="GM4" t="e">
        <f>AND('Discovery-Processing-QC feature'!C138,"AAAAAD/3/sI=")</f>
        <v>#VALUE!</v>
      </c>
      <c r="GN4" t="e">
        <f>AND('Discovery-Processing-QC feature'!D138,"AAAAAD/3/sM=")</f>
        <v>#VALUE!</v>
      </c>
      <c r="GO4" t="e">
        <f>AND('Discovery-Processing-QC feature'!E138,"AAAAAD/3/sQ=")</f>
        <v>#VALUE!</v>
      </c>
      <c r="GP4" t="e">
        <f>AND('Discovery-Processing-QC feature'!F138,"AAAAAD/3/sU=")</f>
        <v>#VALUE!</v>
      </c>
      <c r="GQ4">
        <f>IF('Discovery-Processing-QC feature'!139:139,"AAAAAD/3/sY=",0)</f>
        <v>0</v>
      </c>
      <c r="GR4" t="e">
        <f>AND('Discovery-Processing-QC feature'!A139,"AAAAAD/3/sc=")</f>
        <v>#VALUE!</v>
      </c>
      <c r="GS4" t="e">
        <f>AND('Discovery-Processing-QC feature'!B139,"AAAAAD/3/sg=")</f>
        <v>#VALUE!</v>
      </c>
      <c r="GT4" t="e">
        <f>AND('Discovery-Processing-QC feature'!C139,"AAAAAD/3/sk=")</f>
        <v>#VALUE!</v>
      </c>
      <c r="GU4" t="e">
        <f>AND('Discovery-Processing-QC feature'!D139,"AAAAAD/3/so=")</f>
        <v>#VALUE!</v>
      </c>
      <c r="GV4" t="e">
        <f>AND('Discovery-Processing-QC feature'!E139,"AAAAAD/3/ss=")</f>
        <v>#VALUE!</v>
      </c>
      <c r="GW4" t="e">
        <f>AND('Discovery-Processing-QC feature'!F139,"AAAAAD/3/sw=")</f>
        <v>#VALUE!</v>
      </c>
      <c r="GX4">
        <f>IF('Discovery-Processing-QC feature'!140:140,"AAAAAD/3/s0=",0)</f>
        <v>0</v>
      </c>
      <c r="GY4" t="e">
        <f>AND('Discovery-Processing-QC feature'!A140,"AAAAAD/3/s4=")</f>
        <v>#VALUE!</v>
      </c>
      <c r="GZ4" t="e">
        <f>AND('Discovery-Processing-QC feature'!B140,"AAAAAD/3/s8=")</f>
        <v>#VALUE!</v>
      </c>
      <c r="HA4" t="e">
        <f>AND('Discovery-Processing-QC feature'!C140,"AAAAAD/3/tA=")</f>
        <v>#VALUE!</v>
      </c>
      <c r="HB4" t="e">
        <f>AND('Discovery-Processing-QC feature'!D140,"AAAAAD/3/tE=")</f>
        <v>#VALUE!</v>
      </c>
      <c r="HC4" t="e">
        <f>AND('Discovery-Processing-QC feature'!E140,"AAAAAD/3/tI=")</f>
        <v>#VALUE!</v>
      </c>
      <c r="HD4" t="e">
        <f>AND('Discovery-Processing-QC feature'!F140,"AAAAAD/3/tM=")</f>
        <v>#VALUE!</v>
      </c>
      <c r="HE4">
        <f>IF('Discovery-Processing-QC feature'!141:141,"AAAAAD/3/tQ=",0)</f>
        <v>0</v>
      </c>
      <c r="HF4" t="e">
        <f>AND('Discovery-Processing-QC feature'!A141,"AAAAAD/3/tU=")</f>
        <v>#VALUE!</v>
      </c>
      <c r="HG4" t="e">
        <f>AND('Discovery-Processing-QC feature'!B141,"AAAAAD/3/tY=")</f>
        <v>#VALUE!</v>
      </c>
      <c r="HH4" t="e">
        <f>AND('Discovery-Processing-QC feature'!C141,"AAAAAD/3/tc=")</f>
        <v>#VALUE!</v>
      </c>
      <c r="HI4" t="e">
        <f>AND('Discovery-Processing-QC feature'!D141,"AAAAAD/3/tg=")</f>
        <v>#VALUE!</v>
      </c>
      <c r="HJ4" t="e">
        <f>AND('Discovery-Processing-QC feature'!E141,"AAAAAD/3/tk=")</f>
        <v>#VALUE!</v>
      </c>
      <c r="HK4" t="e">
        <f>AND('Discovery-Processing-QC feature'!F141,"AAAAAD/3/to=")</f>
        <v>#VALUE!</v>
      </c>
      <c r="HL4">
        <f>IF('Discovery-Processing-QC feature'!142:142,"AAAAAD/3/ts=",0)</f>
        <v>0</v>
      </c>
      <c r="HM4" t="e">
        <f>AND('Discovery-Processing-QC feature'!A142,"AAAAAD/3/tw=")</f>
        <v>#VALUE!</v>
      </c>
      <c r="HN4" t="e">
        <f>AND('Discovery-Processing-QC feature'!B142,"AAAAAD/3/t0=")</f>
        <v>#VALUE!</v>
      </c>
      <c r="HO4" t="e">
        <f>AND('Discovery-Processing-QC feature'!C142,"AAAAAD/3/t4=")</f>
        <v>#VALUE!</v>
      </c>
      <c r="HP4" t="e">
        <f>AND('Discovery-Processing-QC feature'!D142,"AAAAAD/3/t8=")</f>
        <v>#VALUE!</v>
      </c>
      <c r="HQ4" t="e">
        <f>AND('Discovery-Processing-QC feature'!E142,"AAAAAD/3/uA=")</f>
        <v>#VALUE!</v>
      </c>
      <c r="HR4" t="e">
        <f>AND('Discovery-Processing-QC feature'!F142,"AAAAAD/3/uE=")</f>
        <v>#VALUE!</v>
      </c>
      <c r="HS4">
        <f>IF('Discovery-Processing-QC feature'!143:143,"AAAAAD/3/uI=",0)</f>
        <v>0</v>
      </c>
      <c r="HT4" t="e">
        <f>AND('Discovery-Processing-QC feature'!A143,"AAAAAD/3/uM=")</f>
        <v>#VALUE!</v>
      </c>
      <c r="HU4" t="e">
        <f>AND('Discovery-Processing-QC feature'!B143,"AAAAAD/3/uQ=")</f>
        <v>#VALUE!</v>
      </c>
      <c r="HV4" t="e">
        <f>AND('Discovery-Processing-QC feature'!C143,"AAAAAD/3/uU=")</f>
        <v>#VALUE!</v>
      </c>
      <c r="HW4" t="e">
        <f>AND('Discovery-Processing-QC feature'!D143,"AAAAAD/3/uY=")</f>
        <v>#VALUE!</v>
      </c>
      <c r="HX4" t="e">
        <f>AND('Discovery-Processing-QC feature'!E143,"AAAAAD/3/uc=")</f>
        <v>#VALUE!</v>
      </c>
      <c r="HY4" t="e">
        <f>AND('Discovery-Processing-QC feature'!F143,"AAAAAD/3/ug=")</f>
        <v>#VALUE!</v>
      </c>
      <c r="HZ4">
        <f>IF('Discovery-Processing-QC feature'!144:144,"AAAAAD/3/uk=",0)</f>
        <v>0</v>
      </c>
      <c r="IA4" t="e">
        <f>AND('Discovery-Processing-QC feature'!A144,"AAAAAD/3/uo=")</f>
        <v>#VALUE!</v>
      </c>
      <c r="IB4" t="e">
        <f>AND('Discovery-Processing-QC feature'!B144,"AAAAAD/3/us=")</f>
        <v>#VALUE!</v>
      </c>
      <c r="IC4" t="e">
        <f>AND('Discovery-Processing-QC feature'!C144,"AAAAAD/3/uw=")</f>
        <v>#VALUE!</v>
      </c>
      <c r="ID4" t="e">
        <f>AND('Discovery-Processing-QC feature'!D144,"AAAAAD/3/u0=")</f>
        <v>#VALUE!</v>
      </c>
      <c r="IE4" t="e">
        <f>AND('Discovery-Processing-QC feature'!E144,"AAAAAD/3/u4=")</f>
        <v>#VALUE!</v>
      </c>
      <c r="IF4" t="e">
        <f>AND('Discovery-Processing-QC feature'!F144,"AAAAAD/3/u8=")</f>
        <v>#VALUE!</v>
      </c>
      <c r="IG4">
        <f>IF('Discovery-Processing-QC feature'!145:145,"AAAAAD/3/vA=",0)</f>
        <v>0</v>
      </c>
      <c r="IH4" t="e">
        <f>AND('Discovery-Processing-QC feature'!A145,"AAAAAD/3/vE=")</f>
        <v>#VALUE!</v>
      </c>
      <c r="II4" t="e">
        <f>AND('Discovery-Processing-QC feature'!B145,"AAAAAD/3/vI=")</f>
        <v>#VALUE!</v>
      </c>
      <c r="IJ4" t="e">
        <f>AND('Discovery-Processing-QC feature'!C145,"AAAAAD/3/vM=")</f>
        <v>#VALUE!</v>
      </c>
      <c r="IK4" t="e">
        <f>AND('Discovery-Processing-QC feature'!D145,"AAAAAD/3/vQ=")</f>
        <v>#VALUE!</v>
      </c>
      <c r="IL4" t="e">
        <f>AND('Discovery-Processing-QC feature'!E145,"AAAAAD/3/vU=")</f>
        <v>#VALUE!</v>
      </c>
      <c r="IM4" t="e">
        <f>AND('Discovery-Processing-QC feature'!F145,"AAAAAD/3/vY=")</f>
        <v>#VALUE!</v>
      </c>
      <c r="IN4">
        <f>IF('Discovery-Processing-QC feature'!146:146,"AAAAAD/3/vc=",0)</f>
        <v>0</v>
      </c>
      <c r="IO4" t="e">
        <f>AND('Discovery-Processing-QC feature'!A146,"AAAAAD/3/vg=")</f>
        <v>#VALUE!</v>
      </c>
      <c r="IP4" t="e">
        <f>AND('Discovery-Processing-QC feature'!B146,"AAAAAD/3/vk=")</f>
        <v>#VALUE!</v>
      </c>
      <c r="IQ4" t="e">
        <f>AND('Discovery-Processing-QC feature'!C146,"AAAAAD/3/vo=")</f>
        <v>#VALUE!</v>
      </c>
      <c r="IR4" t="e">
        <f>AND('Discovery-Processing-QC feature'!D146,"AAAAAD/3/vs=")</f>
        <v>#VALUE!</v>
      </c>
      <c r="IS4" t="e">
        <f>AND('Discovery-Processing-QC feature'!E146,"AAAAAD/3/vw=")</f>
        <v>#VALUE!</v>
      </c>
      <c r="IT4" t="e">
        <f>AND('Discovery-Processing-QC feature'!F146,"AAAAAD/3/v0=")</f>
        <v>#VALUE!</v>
      </c>
      <c r="IU4">
        <f>IF('Discovery-Processing-QC feature'!147:147,"AAAAAD/3/v4=",0)</f>
        <v>0</v>
      </c>
      <c r="IV4" t="e">
        <f>AND('Discovery-Processing-QC feature'!A147,"AAAAAD/3/v8=")</f>
        <v>#VALUE!</v>
      </c>
    </row>
    <row r="5" spans="1:256" x14ac:dyDescent="0.2">
      <c r="A5" t="e">
        <f>AND('Discovery-Processing-QC feature'!B147,"AAAAAHj//gA=")</f>
        <v>#VALUE!</v>
      </c>
      <c r="B5" t="e">
        <f>AND('Discovery-Processing-QC feature'!C147,"AAAAAHj//gE=")</f>
        <v>#VALUE!</v>
      </c>
      <c r="C5" t="e">
        <f>AND('Discovery-Processing-QC feature'!D147,"AAAAAHj//gI=")</f>
        <v>#VALUE!</v>
      </c>
      <c r="D5" t="e">
        <f>AND('Discovery-Processing-QC feature'!E147,"AAAAAHj//gM=")</f>
        <v>#VALUE!</v>
      </c>
      <c r="E5" t="e">
        <f>AND('Discovery-Processing-QC feature'!F147,"AAAAAHj//gQ=")</f>
        <v>#VALUE!</v>
      </c>
      <c r="F5">
        <f>IF('Discovery-Processing-QC feature'!148:148,"AAAAAHj//gU=",0)</f>
        <v>0</v>
      </c>
      <c r="G5" t="e">
        <f>AND('Discovery-Processing-QC feature'!A148,"AAAAAHj//gY=")</f>
        <v>#VALUE!</v>
      </c>
      <c r="H5" t="e">
        <f>AND('Discovery-Processing-QC feature'!B148,"AAAAAHj//gc=")</f>
        <v>#VALUE!</v>
      </c>
      <c r="I5" t="e">
        <f>AND('Discovery-Processing-QC feature'!C148,"AAAAAHj//gg=")</f>
        <v>#VALUE!</v>
      </c>
      <c r="J5" t="e">
        <f>AND('Discovery-Processing-QC feature'!D148,"AAAAAHj//gk=")</f>
        <v>#VALUE!</v>
      </c>
      <c r="K5" t="e">
        <f>AND('Discovery-Processing-QC feature'!E148,"AAAAAHj//go=")</f>
        <v>#VALUE!</v>
      </c>
      <c r="L5" t="e">
        <f>AND('Discovery-Processing-QC feature'!F148,"AAAAAHj//gs=")</f>
        <v>#VALUE!</v>
      </c>
      <c r="M5">
        <f>IF('Discovery-Processing-QC feature'!149:149,"AAAAAHj//gw=",0)</f>
        <v>0</v>
      </c>
      <c r="N5" t="e">
        <f>AND('Discovery-Processing-QC feature'!A149,"AAAAAHj//g0=")</f>
        <v>#VALUE!</v>
      </c>
      <c r="O5" t="e">
        <f>AND('Discovery-Processing-QC feature'!B149,"AAAAAHj//g4=")</f>
        <v>#VALUE!</v>
      </c>
      <c r="P5" t="e">
        <f>AND('Discovery-Processing-QC feature'!C149,"AAAAAHj//g8=")</f>
        <v>#VALUE!</v>
      </c>
      <c r="Q5" t="e">
        <f>AND('Discovery-Processing-QC feature'!D149,"AAAAAHj//hA=")</f>
        <v>#VALUE!</v>
      </c>
      <c r="R5" t="e">
        <f>AND('Discovery-Processing-QC feature'!E149,"AAAAAHj//hE=")</f>
        <v>#VALUE!</v>
      </c>
      <c r="S5" t="e">
        <f>AND('Discovery-Processing-QC feature'!F149,"AAAAAHj//hI=")</f>
        <v>#VALUE!</v>
      </c>
      <c r="T5">
        <f>IF('Discovery-Processing-QC feature'!150:150,"AAAAAHj//hM=",0)</f>
        <v>0</v>
      </c>
      <c r="U5" t="e">
        <f>AND('Discovery-Processing-QC feature'!A150,"AAAAAHj//hQ=")</f>
        <v>#VALUE!</v>
      </c>
      <c r="V5" t="e">
        <f>AND('Discovery-Processing-QC feature'!B150,"AAAAAHj//hU=")</f>
        <v>#VALUE!</v>
      </c>
      <c r="W5" t="e">
        <f>AND('Discovery-Processing-QC feature'!C150,"AAAAAHj//hY=")</f>
        <v>#VALUE!</v>
      </c>
      <c r="X5" t="e">
        <f>AND('Discovery-Processing-QC feature'!D150,"AAAAAHj//hc=")</f>
        <v>#VALUE!</v>
      </c>
      <c r="Y5" t="e">
        <f>AND('Discovery-Processing-QC feature'!E150,"AAAAAHj//hg=")</f>
        <v>#VALUE!</v>
      </c>
      <c r="Z5" t="e">
        <f>AND('Discovery-Processing-QC feature'!F150,"AAAAAHj//hk=")</f>
        <v>#VALUE!</v>
      </c>
      <c r="AA5">
        <f>IF('Discovery-Processing-QC feature'!151:151,"AAAAAHj//ho=",0)</f>
        <v>0</v>
      </c>
      <c r="AB5" t="e">
        <f>AND('Discovery-Processing-QC feature'!A151,"AAAAAHj//hs=")</f>
        <v>#VALUE!</v>
      </c>
      <c r="AC5" t="e">
        <f>AND('Discovery-Processing-QC feature'!B151,"AAAAAHj//hw=")</f>
        <v>#VALUE!</v>
      </c>
      <c r="AD5" t="e">
        <f>AND('Discovery-Processing-QC feature'!C151,"AAAAAHj//h0=")</f>
        <v>#VALUE!</v>
      </c>
      <c r="AE5" t="e">
        <f>AND('Discovery-Processing-QC feature'!D151,"AAAAAHj//h4=")</f>
        <v>#VALUE!</v>
      </c>
      <c r="AF5" t="e">
        <f>AND('Discovery-Processing-QC feature'!E151,"AAAAAHj//h8=")</f>
        <v>#VALUE!</v>
      </c>
      <c r="AG5" t="e">
        <f>AND('Discovery-Processing-QC feature'!F151,"AAAAAHj//iA=")</f>
        <v>#VALUE!</v>
      </c>
      <c r="AH5">
        <f>IF('Discovery-Processing-QC feature'!152:152,"AAAAAHj//iE=",0)</f>
        <v>0</v>
      </c>
      <c r="AI5" t="e">
        <f>AND('Discovery-Processing-QC feature'!A152,"AAAAAHj//iI=")</f>
        <v>#VALUE!</v>
      </c>
      <c r="AJ5" t="e">
        <f>AND('Discovery-Processing-QC feature'!B152,"AAAAAHj//iM=")</f>
        <v>#VALUE!</v>
      </c>
      <c r="AK5" t="e">
        <f>AND('Discovery-Processing-QC feature'!C152,"AAAAAHj//iQ=")</f>
        <v>#VALUE!</v>
      </c>
      <c r="AL5" t="e">
        <f>AND('Discovery-Processing-QC feature'!D152,"AAAAAHj//iU=")</f>
        <v>#VALUE!</v>
      </c>
      <c r="AM5" t="e">
        <f>AND('Discovery-Processing-QC feature'!E152,"AAAAAHj//iY=")</f>
        <v>#VALUE!</v>
      </c>
      <c r="AN5" t="e">
        <f>AND('Discovery-Processing-QC feature'!F152,"AAAAAHj//ic=")</f>
        <v>#VALUE!</v>
      </c>
      <c r="AO5">
        <f>IF('Discovery-Processing-QC feature'!153:153,"AAAAAHj//ig=",0)</f>
        <v>0</v>
      </c>
      <c r="AP5" t="e">
        <f>AND('Discovery-Processing-QC feature'!A153,"AAAAAHj//ik=")</f>
        <v>#VALUE!</v>
      </c>
      <c r="AQ5" t="e">
        <f>AND('Discovery-Processing-QC feature'!B153,"AAAAAHj//io=")</f>
        <v>#VALUE!</v>
      </c>
      <c r="AR5" t="e">
        <f>AND('Discovery-Processing-QC feature'!C153,"AAAAAHj//is=")</f>
        <v>#VALUE!</v>
      </c>
      <c r="AS5" t="e">
        <f>AND('Discovery-Processing-QC feature'!D153,"AAAAAHj//iw=")</f>
        <v>#VALUE!</v>
      </c>
      <c r="AT5" t="e">
        <f>AND('Discovery-Processing-QC feature'!E153,"AAAAAHj//i0=")</f>
        <v>#VALUE!</v>
      </c>
      <c r="AU5" t="e">
        <f>AND('Discovery-Processing-QC feature'!F153,"AAAAAHj//i4=")</f>
        <v>#VALUE!</v>
      </c>
      <c r="AV5">
        <f>IF('Discovery-Processing-QC feature'!154:154,"AAAAAHj//i8=",0)</f>
        <v>0</v>
      </c>
      <c r="AW5" t="e">
        <f>AND('Discovery-Processing-QC feature'!A154,"AAAAAHj//jA=")</f>
        <v>#VALUE!</v>
      </c>
      <c r="AX5" t="e">
        <f>AND('Discovery-Processing-QC feature'!B154,"AAAAAHj//jE=")</f>
        <v>#VALUE!</v>
      </c>
      <c r="AY5" t="e">
        <f>AND('Discovery-Processing-QC feature'!C154,"AAAAAHj//jI=")</f>
        <v>#VALUE!</v>
      </c>
      <c r="AZ5" t="e">
        <f>AND('Discovery-Processing-QC feature'!D154,"AAAAAHj//jM=")</f>
        <v>#VALUE!</v>
      </c>
      <c r="BA5" t="e">
        <f>AND('Discovery-Processing-QC feature'!E154,"AAAAAHj//jQ=")</f>
        <v>#VALUE!</v>
      </c>
      <c r="BB5" t="e">
        <f>AND('Discovery-Processing-QC feature'!F154,"AAAAAHj//jU=")</f>
        <v>#VALUE!</v>
      </c>
      <c r="BC5">
        <f>IF('Discovery-Processing-QC feature'!155:155,"AAAAAHj//jY=",0)</f>
        <v>0</v>
      </c>
      <c r="BD5" t="e">
        <f>AND('Discovery-Processing-QC feature'!A155,"AAAAAHj//jc=")</f>
        <v>#VALUE!</v>
      </c>
      <c r="BE5" t="e">
        <f>AND('Discovery-Processing-QC feature'!B155,"AAAAAHj//jg=")</f>
        <v>#VALUE!</v>
      </c>
      <c r="BF5" t="e">
        <f>AND('Discovery-Processing-QC feature'!C155,"AAAAAHj//jk=")</f>
        <v>#VALUE!</v>
      </c>
      <c r="BG5" t="e">
        <f>AND('Discovery-Processing-QC feature'!D155,"AAAAAHj//jo=")</f>
        <v>#VALUE!</v>
      </c>
      <c r="BH5" t="e">
        <f>AND('Discovery-Processing-QC feature'!E155,"AAAAAHj//js=")</f>
        <v>#VALUE!</v>
      </c>
      <c r="BI5" t="e">
        <f>AND('Discovery-Processing-QC feature'!F155,"AAAAAHj//jw=")</f>
        <v>#VALUE!</v>
      </c>
      <c r="BJ5">
        <f>IF('Discovery-Processing-QC feature'!156:156,"AAAAAHj//j0=",0)</f>
        <v>0</v>
      </c>
      <c r="BK5" t="e">
        <f>AND('Discovery-Processing-QC feature'!A156,"AAAAAHj//j4=")</f>
        <v>#VALUE!</v>
      </c>
      <c r="BL5" t="e">
        <f>AND('Discovery-Processing-QC feature'!B156,"AAAAAHj//j8=")</f>
        <v>#VALUE!</v>
      </c>
      <c r="BM5" t="e">
        <f>AND('Discovery-Processing-QC feature'!C156,"AAAAAHj//kA=")</f>
        <v>#VALUE!</v>
      </c>
      <c r="BN5" t="e">
        <f>AND('Discovery-Processing-QC feature'!D156,"AAAAAHj//kE=")</f>
        <v>#VALUE!</v>
      </c>
      <c r="BO5" t="e">
        <f>AND('Discovery-Processing-QC feature'!E156,"AAAAAHj//kI=")</f>
        <v>#VALUE!</v>
      </c>
      <c r="BP5" t="e">
        <f>AND('Discovery-Processing-QC feature'!F156,"AAAAAHj//kM=")</f>
        <v>#VALUE!</v>
      </c>
      <c r="BQ5">
        <f>IF('Discovery-Processing-QC feature'!157:157,"AAAAAHj//kQ=",0)</f>
        <v>0</v>
      </c>
      <c r="BR5" t="e">
        <f>AND('Discovery-Processing-QC feature'!A157,"AAAAAHj//kU=")</f>
        <v>#VALUE!</v>
      </c>
      <c r="BS5" t="e">
        <f>AND('Discovery-Processing-QC feature'!B157,"AAAAAHj//kY=")</f>
        <v>#VALUE!</v>
      </c>
      <c r="BT5" t="e">
        <f>AND('Discovery-Processing-QC feature'!C157,"AAAAAHj//kc=")</f>
        <v>#VALUE!</v>
      </c>
      <c r="BU5" t="e">
        <f>AND('Discovery-Processing-QC feature'!D157,"AAAAAHj//kg=")</f>
        <v>#VALUE!</v>
      </c>
      <c r="BV5" t="e">
        <f>AND('Discovery-Processing-QC feature'!E157,"AAAAAHj//kk=")</f>
        <v>#VALUE!</v>
      </c>
      <c r="BW5" t="e">
        <f>AND('Discovery-Processing-QC feature'!F157,"AAAAAHj//ko=")</f>
        <v>#VALUE!</v>
      </c>
      <c r="BX5">
        <f>IF('Discovery-Processing-QC feature'!158:158,"AAAAAHj//ks=",0)</f>
        <v>0</v>
      </c>
      <c r="BY5" t="e">
        <f>AND('Discovery-Processing-QC feature'!A158,"AAAAAHj//kw=")</f>
        <v>#VALUE!</v>
      </c>
      <c r="BZ5" t="e">
        <f>AND('Discovery-Processing-QC feature'!B158,"AAAAAHj//k0=")</f>
        <v>#VALUE!</v>
      </c>
      <c r="CA5" t="e">
        <f>AND('Discovery-Processing-QC feature'!C158,"AAAAAHj//k4=")</f>
        <v>#VALUE!</v>
      </c>
      <c r="CB5" t="e">
        <f>AND('Discovery-Processing-QC feature'!D158,"AAAAAHj//k8=")</f>
        <v>#VALUE!</v>
      </c>
      <c r="CC5" t="e">
        <f>AND('Discovery-Processing-QC feature'!E158,"AAAAAHj//lA=")</f>
        <v>#VALUE!</v>
      </c>
      <c r="CD5" t="e">
        <f>AND('Discovery-Processing-QC feature'!F158,"AAAAAHj//lE=")</f>
        <v>#VALUE!</v>
      </c>
      <c r="CE5">
        <f>IF('Discovery-Processing-QC feature'!159:159,"AAAAAHj//lI=",0)</f>
        <v>0</v>
      </c>
      <c r="CF5" t="e">
        <f>AND('Discovery-Processing-QC feature'!A159,"AAAAAHj//lM=")</f>
        <v>#VALUE!</v>
      </c>
      <c r="CG5" t="e">
        <f>AND('Discovery-Processing-QC feature'!B159,"AAAAAHj//lQ=")</f>
        <v>#VALUE!</v>
      </c>
      <c r="CH5" t="e">
        <f>AND('Discovery-Processing-QC feature'!C159,"AAAAAHj//lU=")</f>
        <v>#VALUE!</v>
      </c>
      <c r="CI5" t="e">
        <f>AND('Discovery-Processing-QC feature'!D159,"AAAAAHj//lY=")</f>
        <v>#VALUE!</v>
      </c>
      <c r="CJ5" t="e">
        <f>AND('Discovery-Processing-QC feature'!E159,"AAAAAHj//lc=")</f>
        <v>#VALUE!</v>
      </c>
      <c r="CK5" t="e">
        <f>AND('Discovery-Processing-QC feature'!F159,"AAAAAHj//lg=")</f>
        <v>#VALUE!</v>
      </c>
      <c r="CL5">
        <f>IF('Discovery-Processing-QC feature'!160:160,"AAAAAHj//lk=",0)</f>
        <v>0</v>
      </c>
      <c r="CM5" t="e">
        <f>AND('Discovery-Processing-QC feature'!A160,"AAAAAHj//lo=")</f>
        <v>#VALUE!</v>
      </c>
      <c r="CN5" t="e">
        <f>AND('Discovery-Processing-QC feature'!B160,"AAAAAHj//ls=")</f>
        <v>#VALUE!</v>
      </c>
      <c r="CO5" t="e">
        <f>AND('Discovery-Processing-QC feature'!C160,"AAAAAHj//lw=")</f>
        <v>#VALUE!</v>
      </c>
      <c r="CP5" t="e">
        <f>AND('Discovery-Processing-QC feature'!D160,"AAAAAHj//l0=")</f>
        <v>#VALUE!</v>
      </c>
      <c r="CQ5" t="e">
        <f>AND('Discovery-Processing-QC feature'!E160,"AAAAAHj//l4=")</f>
        <v>#VALUE!</v>
      </c>
      <c r="CR5" t="e">
        <f>AND('Discovery-Processing-QC feature'!F160,"AAAAAHj//l8=")</f>
        <v>#VALUE!</v>
      </c>
      <c r="CS5">
        <f>IF('Discovery-Processing-QC feature'!161:161,"AAAAAHj//mA=",0)</f>
        <v>0</v>
      </c>
      <c r="CT5" t="e">
        <f>AND('Discovery-Processing-QC feature'!A161,"AAAAAHj//mE=")</f>
        <v>#VALUE!</v>
      </c>
      <c r="CU5" t="e">
        <f>AND('Discovery-Processing-QC feature'!B161,"AAAAAHj//mI=")</f>
        <v>#VALUE!</v>
      </c>
      <c r="CV5" t="e">
        <f>AND('Discovery-Processing-QC feature'!C161,"AAAAAHj//mM=")</f>
        <v>#VALUE!</v>
      </c>
      <c r="CW5" t="e">
        <f>AND('Discovery-Processing-QC feature'!D161,"AAAAAHj//mQ=")</f>
        <v>#VALUE!</v>
      </c>
      <c r="CX5" t="e">
        <f>AND('Discovery-Processing-QC feature'!E161,"AAAAAHj//mU=")</f>
        <v>#VALUE!</v>
      </c>
      <c r="CY5" t="e">
        <f>AND('Discovery-Processing-QC feature'!F161,"AAAAAHj//mY=")</f>
        <v>#VALUE!</v>
      </c>
      <c r="CZ5">
        <f>IF('Discovery-Processing-QC feature'!162:162,"AAAAAHj//mc=",0)</f>
        <v>0</v>
      </c>
      <c r="DA5" t="e">
        <f>AND('Discovery-Processing-QC feature'!A162,"AAAAAHj//mg=")</f>
        <v>#VALUE!</v>
      </c>
      <c r="DB5" t="e">
        <f>AND('Discovery-Processing-QC feature'!B162,"AAAAAHj//mk=")</f>
        <v>#VALUE!</v>
      </c>
      <c r="DC5" t="e">
        <f>AND('Discovery-Processing-QC feature'!C162,"AAAAAHj//mo=")</f>
        <v>#VALUE!</v>
      </c>
      <c r="DD5" t="e">
        <f>AND('Discovery-Processing-QC feature'!D162,"AAAAAHj//ms=")</f>
        <v>#VALUE!</v>
      </c>
      <c r="DE5" t="e">
        <f>AND('Discovery-Processing-QC feature'!E162,"AAAAAHj//mw=")</f>
        <v>#VALUE!</v>
      </c>
      <c r="DF5" t="e">
        <f>AND('Discovery-Processing-QC feature'!F162,"AAAAAHj//m0=")</f>
        <v>#VALUE!</v>
      </c>
      <c r="DG5">
        <f>IF('Discovery-Processing-QC feature'!163:163,"AAAAAHj//m4=",0)</f>
        <v>0</v>
      </c>
      <c r="DH5" t="e">
        <f>AND('Discovery-Processing-QC feature'!A163,"AAAAAHj//m8=")</f>
        <v>#VALUE!</v>
      </c>
      <c r="DI5" t="e">
        <f>AND('Discovery-Processing-QC feature'!B163,"AAAAAHj//nA=")</f>
        <v>#VALUE!</v>
      </c>
      <c r="DJ5" t="e">
        <f>AND('Discovery-Processing-QC feature'!C163,"AAAAAHj//nE=")</f>
        <v>#VALUE!</v>
      </c>
      <c r="DK5" t="e">
        <f>AND('Discovery-Processing-QC feature'!D163,"AAAAAHj//nI=")</f>
        <v>#VALUE!</v>
      </c>
      <c r="DL5" t="e">
        <f>AND('Discovery-Processing-QC feature'!E163,"AAAAAHj//nM=")</f>
        <v>#VALUE!</v>
      </c>
      <c r="DM5" t="e">
        <f>AND('Discovery-Processing-QC feature'!F163,"AAAAAHj//nQ=")</f>
        <v>#VALUE!</v>
      </c>
      <c r="DN5">
        <f>IF('Discovery-Processing-QC feature'!164:164,"AAAAAHj//nU=",0)</f>
        <v>0</v>
      </c>
      <c r="DO5" t="e">
        <f>AND('Discovery-Processing-QC feature'!A164,"AAAAAHj//nY=")</f>
        <v>#VALUE!</v>
      </c>
      <c r="DP5" t="e">
        <f>AND('Discovery-Processing-QC feature'!B164,"AAAAAHj//nc=")</f>
        <v>#VALUE!</v>
      </c>
      <c r="DQ5" t="e">
        <f>AND('Discovery-Processing-QC feature'!C164,"AAAAAHj//ng=")</f>
        <v>#VALUE!</v>
      </c>
      <c r="DR5" t="e">
        <f>AND('Discovery-Processing-QC feature'!D164,"AAAAAHj//nk=")</f>
        <v>#VALUE!</v>
      </c>
      <c r="DS5" t="e">
        <f>AND('Discovery-Processing-QC feature'!E164,"AAAAAHj//no=")</f>
        <v>#VALUE!</v>
      </c>
      <c r="DT5" t="e">
        <f>AND('Discovery-Processing-QC feature'!F164,"AAAAAHj//ns=")</f>
        <v>#VALUE!</v>
      </c>
      <c r="DU5">
        <f>IF('Discovery-Processing-QC feature'!165:165,"AAAAAHj//nw=",0)</f>
        <v>0</v>
      </c>
      <c r="DV5" t="e">
        <f>AND('Discovery-Processing-QC feature'!A165,"AAAAAHj//n0=")</f>
        <v>#VALUE!</v>
      </c>
      <c r="DW5" t="e">
        <f>AND('Discovery-Processing-QC feature'!B165,"AAAAAHj//n4=")</f>
        <v>#VALUE!</v>
      </c>
      <c r="DX5" t="e">
        <f>AND('Discovery-Processing-QC feature'!C165,"AAAAAHj//n8=")</f>
        <v>#VALUE!</v>
      </c>
      <c r="DY5" t="e">
        <f>AND('Discovery-Processing-QC feature'!D165,"AAAAAHj//oA=")</f>
        <v>#VALUE!</v>
      </c>
      <c r="DZ5" t="e">
        <f>AND('Discovery-Processing-QC feature'!E165,"AAAAAHj//oE=")</f>
        <v>#VALUE!</v>
      </c>
      <c r="EA5" t="e">
        <f>AND('Discovery-Processing-QC feature'!F165,"AAAAAHj//oI=")</f>
        <v>#VALUE!</v>
      </c>
      <c r="EB5">
        <f>IF('Discovery-Processing-QC feature'!166:166,"AAAAAHj//oM=",0)</f>
        <v>0</v>
      </c>
      <c r="EC5" t="e">
        <f>AND('Discovery-Processing-QC feature'!A166,"AAAAAHj//oQ=")</f>
        <v>#VALUE!</v>
      </c>
      <c r="ED5" t="e">
        <f>AND('Discovery-Processing-QC feature'!B166,"AAAAAHj//oU=")</f>
        <v>#VALUE!</v>
      </c>
      <c r="EE5" t="e">
        <f>AND('Discovery-Processing-QC feature'!C166,"AAAAAHj//oY=")</f>
        <v>#VALUE!</v>
      </c>
      <c r="EF5" t="e">
        <f>AND('Discovery-Processing-QC feature'!D166,"AAAAAHj//oc=")</f>
        <v>#VALUE!</v>
      </c>
      <c r="EG5" t="e">
        <f>AND('Discovery-Processing-QC feature'!E166,"AAAAAHj//og=")</f>
        <v>#VALUE!</v>
      </c>
      <c r="EH5" t="e">
        <f>AND('Discovery-Processing-QC feature'!F166,"AAAAAHj//ok=")</f>
        <v>#VALUE!</v>
      </c>
      <c r="EI5">
        <f>IF('Discovery-Processing-QC feature'!167:167,"AAAAAHj//oo=",0)</f>
        <v>0</v>
      </c>
      <c r="EJ5" t="e">
        <f>AND('Discovery-Processing-QC feature'!A167,"AAAAAHj//os=")</f>
        <v>#VALUE!</v>
      </c>
      <c r="EK5" t="e">
        <f>AND('Discovery-Processing-QC feature'!B167,"AAAAAHj//ow=")</f>
        <v>#VALUE!</v>
      </c>
      <c r="EL5" t="e">
        <f>AND('Discovery-Processing-QC feature'!C167,"AAAAAHj//o0=")</f>
        <v>#VALUE!</v>
      </c>
      <c r="EM5" t="e">
        <f>AND('Discovery-Processing-QC feature'!D167,"AAAAAHj//o4=")</f>
        <v>#VALUE!</v>
      </c>
      <c r="EN5" t="e">
        <f>AND('Discovery-Processing-QC feature'!E167,"AAAAAHj//o8=")</f>
        <v>#VALUE!</v>
      </c>
      <c r="EO5" t="e">
        <f>AND('Discovery-Processing-QC feature'!F167,"AAAAAHj//pA=")</f>
        <v>#VALUE!</v>
      </c>
      <c r="EP5">
        <f>IF('Discovery-Processing-QC feature'!168:168,"AAAAAHj//pE=",0)</f>
        <v>0</v>
      </c>
      <c r="EQ5" t="e">
        <f>AND('Discovery-Processing-QC feature'!A168,"AAAAAHj//pI=")</f>
        <v>#VALUE!</v>
      </c>
      <c r="ER5" t="e">
        <f>AND('Discovery-Processing-QC feature'!B168,"AAAAAHj//pM=")</f>
        <v>#VALUE!</v>
      </c>
      <c r="ES5" t="e">
        <f>AND('Discovery-Processing-QC feature'!C168,"AAAAAHj//pQ=")</f>
        <v>#VALUE!</v>
      </c>
      <c r="ET5" t="e">
        <f>AND('Discovery-Processing-QC feature'!D168,"AAAAAHj//pU=")</f>
        <v>#VALUE!</v>
      </c>
      <c r="EU5" t="e">
        <f>AND('Discovery-Processing-QC feature'!E168,"AAAAAHj//pY=")</f>
        <v>#VALUE!</v>
      </c>
      <c r="EV5" t="e">
        <f>AND('Discovery-Processing-QC feature'!F168,"AAAAAHj//pc=")</f>
        <v>#VALUE!</v>
      </c>
      <c r="EW5">
        <f>IF('Discovery-Processing-QC feature'!169:169,"AAAAAHj//pg=",0)</f>
        <v>0</v>
      </c>
      <c r="EX5" t="e">
        <f>AND('Discovery-Processing-QC feature'!A169,"AAAAAHj//pk=")</f>
        <v>#VALUE!</v>
      </c>
      <c r="EY5" t="e">
        <f>AND('Discovery-Processing-QC feature'!B169,"AAAAAHj//po=")</f>
        <v>#VALUE!</v>
      </c>
      <c r="EZ5" t="e">
        <f>AND('Discovery-Processing-QC feature'!C169,"AAAAAHj//ps=")</f>
        <v>#VALUE!</v>
      </c>
      <c r="FA5" t="e">
        <f>AND('Discovery-Processing-QC feature'!D169,"AAAAAHj//pw=")</f>
        <v>#VALUE!</v>
      </c>
      <c r="FB5" t="e">
        <f>AND('Discovery-Processing-QC feature'!E169,"AAAAAHj//p0=")</f>
        <v>#VALUE!</v>
      </c>
      <c r="FC5" t="e">
        <f>AND('Discovery-Processing-QC feature'!F169,"AAAAAHj//p4=")</f>
        <v>#VALUE!</v>
      </c>
      <c r="FD5">
        <f>IF('Discovery-Processing-QC feature'!170:170,"AAAAAHj//p8=",0)</f>
        <v>0</v>
      </c>
      <c r="FE5" t="e">
        <f>AND('Discovery-Processing-QC feature'!A170,"AAAAAHj//qA=")</f>
        <v>#VALUE!</v>
      </c>
      <c r="FF5" t="e">
        <f>AND('Discovery-Processing-QC feature'!B170,"AAAAAHj//qE=")</f>
        <v>#VALUE!</v>
      </c>
      <c r="FG5" t="e">
        <f>AND('Discovery-Processing-QC feature'!C170,"AAAAAHj//qI=")</f>
        <v>#VALUE!</v>
      </c>
      <c r="FH5" t="e">
        <f>AND('Discovery-Processing-QC feature'!D170,"AAAAAHj//qM=")</f>
        <v>#VALUE!</v>
      </c>
      <c r="FI5" t="e">
        <f>AND('Discovery-Processing-QC feature'!E170,"AAAAAHj//qQ=")</f>
        <v>#VALUE!</v>
      </c>
      <c r="FJ5" t="e">
        <f>AND('Discovery-Processing-QC feature'!F170,"AAAAAHj//qU=")</f>
        <v>#VALUE!</v>
      </c>
      <c r="FK5">
        <f>IF('Discovery-Processing-QC feature'!171:171,"AAAAAHj//qY=",0)</f>
        <v>0</v>
      </c>
      <c r="FL5" t="e">
        <f>AND('Discovery-Processing-QC feature'!A171,"AAAAAHj//qc=")</f>
        <v>#VALUE!</v>
      </c>
      <c r="FM5" t="e">
        <f>AND('Discovery-Processing-QC feature'!B171,"AAAAAHj//qg=")</f>
        <v>#VALUE!</v>
      </c>
      <c r="FN5" t="e">
        <f>AND('Discovery-Processing-QC feature'!C171,"AAAAAHj//qk=")</f>
        <v>#VALUE!</v>
      </c>
      <c r="FO5" t="e">
        <f>AND('Discovery-Processing-QC feature'!D171,"AAAAAHj//qo=")</f>
        <v>#VALUE!</v>
      </c>
      <c r="FP5" t="e">
        <f>AND('Discovery-Processing-QC feature'!E171,"AAAAAHj//qs=")</f>
        <v>#VALUE!</v>
      </c>
      <c r="FQ5" t="e">
        <f>AND('Discovery-Processing-QC feature'!F171,"AAAAAHj//qw=")</f>
        <v>#VALUE!</v>
      </c>
      <c r="FR5">
        <f>IF('Discovery-Processing-QC feature'!172:172,"AAAAAHj//q0=",0)</f>
        <v>0</v>
      </c>
      <c r="FS5" t="e">
        <f>AND('Discovery-Processing-QC feature'!A172,"AAAAAHj//q4=")</f>
        <v>#VALUE!</v>
      </c>
      <c r="FT5" t="e">
        <f>AND('Discovery-Processing-QC feature'!B172,"AAAAAHj//q8=")</f>
        <v>#VALUE!</v>
      </c>
      <c r="FU5" t="e">
        <f>AND('Discovery-Processing-QC feature'!C172,"AAAAAHj//rA=")</f>
        <v>#VALUE!</v>
      </c>
      <c r="FV5" t="e">
        <f>AND('Discovery-Processing-QC feature'!D172,"AAAAAHj//rE=")</f>
        <v>#VALUE!</v>
      </c>
      <c r="FW5" t="e">
        <f>AND('Discovery-Processing-QC feature'!E172,"AAAAAHj//rI=")</f>
        <v>#VALUE!</v>
      </c>
      <c r="FX5" t="e">
        <f>AND('Discovery-Processing-QC feature'!F172,"AAAAAHj//rM=")</f>
        <v>#VALUE!</v>
      </c>
      <c r="FY5">
        <f>IF('Discovery-Processing-QC feature'!173:173,"AAAAAHj//rQ=",0)</f>
        <v>0</v>
      </c>
      <c r="FZ5" t="e">
        <f>AND('Discovery-Processing-QC feature'!A173,"AAAAAHj//rU=")</f>
        <v>#VALUE!</v>
      </c>
      <c r="GA5" t="e">
        <f>AND('Discovery-Processing-QC feature'!B173,"AAAAAHj//rY=")</f>
        <v>#VALUE!</v>
      </c>
      <c r="GB5" t="e">
        <f>AND('Discovery-Processing-QC feature'!C173,"AAAAAHj//rc=")</f>
        <v>#VALUE!</v>
      </c>
      <c r="GC5" t="e">
        <f>AND('Discovery-Processing-QC feature'!D173,"AAAAAHj//rg=")</f>
        <v>#VALUE!</v>
      </c>
      <c r="GD5" t="e">
        <f>AND('Discovery-Processing-QC feature'!E173,"AAAAAHj//rk=")</f>
        <v>#VALUE!</v>
      </c>
      <c r="GE5" t="e">
        <f>AND('Discovery-Processing-QC feature'!F173,"AAAAAHj//ro=")</f>
        <v>#VALUE!</v>
      </c>
      <c r="GF5">
        <f>IF('Discovery-Processing-QC feature'!174:174,"AAAAAHj//rs=",0)</f>
        <v>0</v>
      </c>
      <c r="GG5" t="e">
        <f>AND('Discovery-Processing-QC feature'!A174,"AAAAAHj//rw=")</f>
        <v>#VALUE!</v>
      </c>
      <c r="GH5" t="e">
        <f>AND('Discovery-Processing-QC feature'!B174,"AAAAAHj//r0=")</f>
        <v>#VALUE!</v>
      </c>
      <c r="GI5" t="e">
        <f>AND('Discovery-Processing-QC feature'!C174,"AAAAAHj//r4=")</f>
        <v>#VALUE!</v>
      </c>
      <c r="GJ5" t="e">
        <f>AND('Discovery-Processing-QC feature'!D174,"AAAAAHj//r8=")</f>
        <v>#VALUE!</v>
      </c>
      <c r="GK5" t="e">
        <f>AND('Discovery-Processing-QC feature'!E174,"AAAAAHj//sA=")</f>
        <v>#VALUE!</v>
      </c>
      <c r="GL5" t="e">
        <f>AND('Discovery-Processing-QC feature'!F174,"AAAAAHj//sE=")</f>
        <v>#VALUE!</v>
      </c>
      <c r="GM5">
        <f>IF('Discovery-Processing-QC feature'!175:175,"AAAAAHj//sI=",0)</f>
        <v>0</v>
      </c>
      <c r="GN5" t="e">
        <f>AND('Discovery-Processing-QC feature'!A175,"AAAAAHj//sM=")</f>
        <v>#VALUE!</v>
      </c>
      <c r="GO5" t="e">
        <f>AND('Discovery-Processing-QC feature'!B175,"AAAAAHj//sQ=")</f>
        <v>#VALUE!</v>
      </c>
      <c r="GP5" t="e">
        <f>AND('Discovery-Processing-QC feature'!C175,"AAAAAHj//sU=")</f>
        <v>#VALUE!</v>
      </c>
      <c r="GQ5" t="e">
        <f>AND('Discovery-Processing-QC feature'!D175,"AAAAAHj//sY=")</f>
        <v>#VALUE!</v>
      </c>
      <c r="GR5" t="e">
        <f>AND('Discovery-Processing-QC feature'!E175,"AAAAAHj//sc=")</f>
        <v>#VALUE!</v>
      </c>
      <c r="GS5" t="e">
        <f>AND('Discovery-Processing-QC feature'!F175,"AAAAAHj//sg=")</f>
        <v>#VALUE!</v>
      </c>
      <c r="GT5">
        <f>IF('Discovery-Processing-QC feature'!176:176,"AAAAAHj//sk=",0)</f>
        <v>0</v>
      </c>
      <c r="GU5" t="e">
        <f>AND('Discovery-Processing-QC feature'!A176,"AAAAAHj//so=")</f>
        <v>#VALUE!</v>
      </c>
      <c r="GV5" t="e">
        <f>AND('Discovery-Processing-QC feature'!B176,"AAAAAHj//ss=")</f>
        <v>#VALUE!</v>
      </c>
      <c r="GW5" t="e">
        <f>AND('Discovery-Processing-QC feature'!C176,"AAAAAHj//sw=")</f>
        <v>#VALUE!</v>
      </c>
      <c r="GX5" t="e">
        <f>AND('Discovery-Processing-QC feature'!D176,"AAAAAHj//s0=")</f>
        <v>#VALUE!</v>
      </c>
      <c r="GY5" t="e">
        <f>AND('Discovery-Processing-QC feature'!E176,"AAAAAHj//s4=")</f>
        <v>#VALUE!</v>
      </c>
      <c r="GZ5" t="e">
        <f>AND('Discovery-Processing-QC feature'!F176,"AAAAAHj//s8=")</f>
        <v>#VALUE!</v>
      </c>
      <c r="HA5">
        <f>IF('Discovery-Processing-QC feature'!177:177,"AAAAAHj//tA=",0)</f>
        <v>0</v>
      </c>
      <c r="HB5" t="e">
        <f>AND('Discovery-Processing-QC feature'!A177,"AAAAAHj//tE=")</f>
        <v>#VALUE!</v>
      </c>
      <c r="HC5" t="e">
        <f>AND('Discovery-Processing-QC feature'!B177,"AAAAAHj//tI=")</f>
        <v>#VALUE!</v>
      </c>
      <c r="HD5" t="e">
        <f>AND('Discovery-Processing-QC feature'!C177,"AAAAAHj//tM=")</f>
        <v>#VALUE!</v>
      </c>
      <c r="HE5" t="e">
        <f>AND('Discovery-Processing-QC feature'!D177,"AAAAAHj//tQ=")</f>
        <v>#VALUE!</v>
      </c>
      <c r="HF5" t="e">
        <f>AND('Discovery-Processing-QC feature'!E177,"AAAAAHj//tU=")</f>
        <v>#VALUE!</v>
      </c>
      <c r="HG5" t="e">
        <f>AND('Discovery-Processing-QC feature'!F177,"AAAAAHj//tY=")</f>
        <v>#VALUE!</v>
      </c>
      <c r="HH5">
        <f>IF('Discovery-Processing-QC feature'!178:178,"AAAAAHj//tc=",0)</f>
        <v>0</v>
      </c>
      <c r="HI5" t="e">
        <f>AND('Discovery-Processing-QC feature'!A178,"AAAAAHj//tg=")</f>
        <v>#VALUE!</v>
      </c>
      <c r="HJ5" t="e">
        <f>AND('Discovery-Processing-QC feature'!B178,"AAAAAHj//tk=")</f>
        <v>#VALUE!</v>
      </c>
      <c r="HK5" t="e">
        <f>AND('Discovery-Processing-QC feature'!C178,"AAAAAHj//to=")</f>
        <v>#VALUE!</v>
      </c>
      <c r="HL5" t="e">
        <f>AND('Discovery-Processing-QC feature'!D178,"AAAAAHj//ts=")</f>
        <v>#VALUE!</v>
      </c>
      <c r="HM5" t="e">
        <f>AND('Discovery-Processing-QC feature'!E178,"AAAAAHj//tw=")</f>
        <v>#VALUE!</v>
      </c>
      <c r="HN5" t="e">
        <f>AND('Discovery-Processing-QC feature'!F178,"AAAAAHj//t0=")</f>
        <v>#VALUE!</v>
      </c>
      <c r="HO5">
        <f>IF('Discovery-Processing-QC feature'!179:179,"AAAAAHj//t4=",0)</f>
        <v>0</v>
      </c>
      <c r="HP5" t="e">
        <f>AND('Discovery-Processing-QC feature'!A179,"AAAAAHj//t8=")</f>
        <v>#VALUE!</v>
      </c>
      <c r="HQ5" t="e">
        <f>AND('Discovery-Processing-QC feature'!B179,"AAAAAHj//uA=")</f>
        <v>#VALUE!</v>
      </c>
      <c r="HR5" t="e">
        <f>AND('Discovery-Processing-QC feature'!C179,"AAAAAHj//uE=")</f>
        <v>#VALUE!</v>
      </c>
      <c r="HS5" t="e">
        <f>AND('Discovery-Processing-QC feature'!D179,"AAAAAHj//uI=")</f>
        <v>#VALUE!</v>
      </c>
      <c r="HT5" t="e">
        <f>AND('Discovery-Processing-QC feature'!E179,"AAAAAHj//uM=")</f>
        <v>#VALUE!</v>
      </c>
      <c r="HU5" t="e">
        <f>AND('Discovery-Processing-QC feature'!F179,"AAAAAHj//uQ=")</f>
        <v>#VALUE!</v>
      </c>
      <c r="HV5">
        <f>IF('Discovery-Processing-QC feature'!180:180,"AAAAAHj//uU=",0)</f>
        <v>0</v>
      </c>
      <c r="HW5" t="e">
        <f>AND('Discovery-Processing-QC feature'!A180,"AAAAAHj//uY=")</f>
        <v>#VALUE!</v>
      </c>
      <c r="HX5" t="e">
        <f>AND('Discovery-Processing-QC feature'!B180,"AAAAAHj//uc=")</f>
        <v>#VALUE!</v>
      </c>
      <c r="HY5" t="e">
        <f>AND('Discovery-Processing-QC feature'!C180,"AAAAAHj//ug=")</f>
        <v>#VALUE!</v>
      </c>
      <c r="HZ5" t="e">
        <f>AND('Discovery-Processing-QC feature'!D180,"AAAAAHj//uk=")</f>
        <v>#VALUE!</v>
      </c>
      <c r="IA5" t="e">
        <f>AND('Discovery-Processing-QC feature'!E180,"AAAAAHj//uo=")</f>
        <v>#VALUE!</v>
      </c>
      <c r="IB5" t="e">
        <f>AND('Discovery-Processing-QC feature'!F180,"AAAAAHj//us=")</f>
        <v>#VALUE!</v>
      </c>
      <c r="IC5">
        <f>IF('Discovery-Processing-QC feature'!181:181,"AAAAAHj//uw=",0)</f>
        <v>0</v>
      </c>
      <c r="ID5" t="e">
        <f>AND('Discovery-Processing-QC feature'!A181,"AAAAAHj//u0=")</f>
        <v>#VALUE!</v>
      </c>
      <c r="IE5" t="e">
        <f>AND('Discovery-Processing-QC feature'!B181,"AAAAAHj//u4=")</f>
        <v>#VALUE!</v>
      </c>
      <c r="IF5" t="e">
        <f>AND('Discovery-Processing-QC feature'!C181,"AAAAAHj//u8=")</f>
        <v>#VALUE!</v>
      </c>
      <c r="IG5" t="e">
        <f>AND('Discovery-Processing-QC feature'!D181,"AAAAAHj//vA=")</f>
        <v>#VALUE!</v>
      </c>
      <c r="IH5" t="e">
        <f>AND('Discovery-Processing-QC feature'!E181,"AAAAAHj//vE=")</f>
        <v>#VALUE!</v>
      </c>
      <c r="II5" t="e">
        <f>AND('Discovery-Processing-QC feature'!F181,"AAAAAHj//vI=")</f>
        <v>#VALUE!</v>
      </c>
      <c r="IJ5">
        <f>IF('Discovery-Processing-QC feature'!182:182,"AAAAAHj//vM=",0)</f>
        <v>0</v>
      </c>
      <c r="IK5" t="e">
        <f>AND('Discovery-Processing-QC feature'!A182,"AAAAAHj//vQ=")</f>
        <v>#VALUE!</v>
      </c>
      <c r="IL5" t="e">
        <f>AND('Discovery-Processing-QC feature'!B182,"AAAAAHj//vU=")</f>
        <v>#VALUE!</v>
      </c>
      <c r="IM5" t="e">
        <f>AND('Discovery-Processing-QC feature'!C182,"AAAAAHj//vY=")</f>
        <v>#VALUE!</v>
      </c>
      <c r="IN5" t="e">
        <f>AND('Discovery-Processing-QC feature'!D182,"AAAAAHj//vc=")</f>
        <v>#VALUE!</v>
      </c>
      <c r="IO5" t="e">
        <f>AND('Discovery-Processing-QC feature'!E182,"AAAAAHj//vg=")</f>
        <v>#VALUE!</v>
      </c>
      <c r="IP5" t="e">
        <f>AND('Discovery-Processing-QC feature'!F182,"AAAAAHj//vk=")</f>
        <v>#VALUE!</v>
      </c>
      <c r="IQ5">
        <f>IF('Discovery-Processing-QC feature'!183:183,"AAAAAHj//vo=",0)</f>
        <v>0</v>
      </c>
      <c r="IR5" t="e">
        <f>AND('Discovery-Processing-QC feature'!A183,"AAAAAHj//vs=")</f>
        <v>#VALUE!</v>
      </c>
      <c r="IS5" t="e">
        <f>AND('Discovery-Processing-QC feature'!B183,"AAAAAHj//vw=")</f>
        <v>#VALUE!</v>
      </c>
      <c r="IT5" t="e">
        <f>AND('Discovery-Processing-QC feature'!C183,"AAAAAHj//v0=")</f>
        <v>#VALUE!</v>
      </c>
      <c r="IU5" t="e">
        <f>AND('Discovery-Processing-QC feature'!D183,"AAAAAHj//v4=")</f>
        <v>#VALUE!</v>
      </c>
      <c r="IV5" t="e">
        <f>AND('Discovery-Processing-QC feature'!E183,"AAAAAHj//v8=")</f>
        <v>#VALUE!</v>
      </c>
    </row>
    <row r="6" spans="1:256" x14ac:dyDescent="0.2">
      <c r="A6" t="e">
        <f>AND('Discovery-Processing-QC feature'!F183,"AAAAAF/33QA=")</f>
        <v>#VALUE!</v>
      </c>
      <c r="B6" t="e">
        <f>IF('Discovery-Processing-QC feature'!184:184,"AAAAAF/33QE=",0)</f>
        <v>#VALUE!</v>
      </c>
      <c r="C6" t="e">
        <f>AND('Discovery-Processing-QC feature'!A184,"AAAAAF/33QI=")</f>
        <v>#VALUE!</v>
      </c>
      <c r="D6" t="e">
        <f>AND('Discovery-Processing-QC feature'!B184,"AAAAAF/33QM=")</f>
        <v>#VALUE!</v>
      </c>
      <c r="E6" t="e">
        <f>AND('Discovery-Processing-QC feature'!C184,"AAAAAF/33QQ=")</f>
        <v>#VALUE!</v>
      </c>
      <c r="F6" t="e">
        <f>AND('Discovery-Processing-QC feature'!D184,"AAAAAF/33QU=")</f>
        <v>#VALUE!</v>
      </c>
      <c r="G6" t="e">
        <f>AND('Discovery-Processing-QC feature'!E184,"AAAAAF/33QY=")</f>
        <v>#VALUE!</v>
      </c>
      <c r="H6" t="e">
        <f>AND('Discovery-Processing-QC feature'!F184,"AAAAAF/33Qc=")</f>
        <v>#VALUE!</v>
      </c>
      <c r="I6">
        <f>IF('Discovery-Processing-QC feature'!185:185,"AAAAAF/33Qg=",0)</f>
        <v>0</v>
      </c>
      <c r="J6" t="e">
        <f>AND('Discovery-Processing-QC feature'!A185,"AAAAAF/33Qk=")</f>
        <v>#VALUE!</v>
      </c>
      <c r="K6" t="e">
        <f>AND('Discovery-Processing-QC feature'!B185,"AAAAAF/33Qo=")</f>
        <v>#VALUE!</v>
      </c>
      <c r="L6" t="e">
        <f>AND('Discovery-Processing-QC feature'!C185,"AAAAAF/33Qs=")</f>
        <v>#VALUE!</v>
      </c>
      <c r="M6" t="e">
        <f>AND('Discovery-Processing-QC feature'!D185,"AAAAAF/33Qw=")</f>
        <v>#VALUE!</v>
      </c>
      <c r="N6" t="e">
        <f>AND('Discovery-Processing-QC feature'!E185,"AAAAAF/33Q0=")</f>
        <v>#VALUE!</v>
      </c>
      <c r="O6" t="e">
        <f>AND('Discovery-Processing-QC feature'!F185,"AAAAAF/33Q4=")</f>
        <v>#VALUE!</v>
      </c>
      <c r="P6">
        <f>IF('Discovery-Processing-QC feature'!186:186,"AAAAAF/33Q8=",0)</f>
        <v>0</v>
      </c>
      <c r="Q6" t="e">
        <f>AND('Discovery-Processing-QC feature'!A186,"AAAAAF/33RA=")</f>
        <v>#VALUE!</v>
      </c>
      <c r="R6" t="e">
        <f>AND('Discovery-Processing-QC feature'!B186,"AAAAAF/33RE=")</f>
        <v>#VALUE!</v>
      </c>
      <c r="S6" t="e">
        <f>AND('Discovery-Processing-QC feature'!C186,"AAAAAF/33RI=")</f>
        <v>#VALUE!</v>
      </c>
      <c r="T6" t="e">
        <f>AND('Discovery-Processing-QC feature'!D186,"AAAAAF/33RM=")</f>
        <v>#VALUE!</v>
      </c>
      <c r="U6" t="e">
        <f>AND('Discovery-Processing-QC feature'!E186,"AAAAAF/33RQ=")</f>
        <v>#VALUE!</v>
      </c>
      <c r="V6" t="e">
        <f>AND('Discovery-Processing-QC feature'!F186,"AAAAAF/33RU=")</f>
        <v>#VALUE!</v>
      </c>
      <c r="W6">
        <f>IF('Discovery-Processing-QC feature'!187:187,"AAAAAF/33RY=",0)</f>
        <v>0</v>
      </c>
      <c r="X6" t="e">
        <f>AND('Discovery-Processing-QC feature'!A187,"AAAAAF/33Rc=")</f>
        <v>#VALUE!</v>
      </c>
      <c r="Y6" t="e">
        <f>AND('Discovery-Processing-QC feature'!B187,"AAAAAF/33Rg=")</f>
        <v>#VALUE!</v>
      </c>
      <c r="Z6" t="e">
        <f>AND('Discovery-Processing-QC feature'!C187,"AAAAAF/33Rk=")</f>
        <v>#VALUE!</v>
      </c>
      <c r="AA6" t="e">
        <f>AND('Discovery-Processing-QC feature'!D187,"AAAAAF/33Ro=")</f>
        <v>#VALUE!</v>
      </c>
      <c r="AB6" t="e">
        <f>AND('Discovery-Processing-QC feature'!E187,"AAAAAF/33Rs=")</f>
        <v>#VALUE!</v>
      </c>
      <c r="AC6" t="e">
        <f>AND('Discovery-Processing-QC feature'!F187,"AAAAAF/33Rw=")</f>
        <v>#VALUE!</v>
      </c>
      <c r="AD6">
        <f>IF('Discovery-Processing-QC feature'!188:188,"AAAAAF/33R0=",0)</f>
        <v>0</v>
      </c>
      <c r="AE6" t="e">
        <f>AND('Discovery-Processing-QC feature'!A188,"AAAAAF/33R4=")</f>
        <v>#VALUE!</v>
      </c>
      <c r="AF6" t="e">
        <f>AND('Discovery-Processing-QC feature'!B188,"AAAAAF/33R8=")</f>
        <v>#VALUE!</v>
      </c>
      <c r="AG6" t="e">
        <f>AND('Discovery-Processing-QC feature'!C188,"AAAAAF/33SA=")</f>
        <v>#VALUE!</v>
      </c>
      <c r="AH6" t="e">
        <f>AND('Discovery-Processing-QC feature'!D188,"AAAAAF/33SE=")</f>
        <v>#VALUE!</v>
      </c>
      <c r="AI6" t="e">
        <f>AND('Discovery-Processing-QC feature'!E188,"AAAAAF/33SI=")</f>
        <v>#VALUE!</v>
      </c>
      <c r="AJ6" t="e">
        <f>AND('Discovery-Processing-QC feature'!F188,"AAAAAF/33SM=")</f>
        <v>#VALUE!</v>
      </c>
      <c r="AK6">
        <f>IF('Discovery-Processing-QC feature'!189:189,"AAAAAF/33SQ=",0)</f>
        <v>0</v>
      </c>
      <c r="AL6" t="e">
        <f>AND('Discovery-Processing-QC feature'!A189,"AAAAAF/33SU=")</f>
        <v>#VALUE!</v>
      </c>
      <c r="AM6" t="e">
        <f>AND('Discovery-Processing-QC feature'!B189,"AAAAAF/33SY=")</f>
        <v>#VALUE!</v>
      </c>
      <c r="AN6" t="e">
        <f>AND('Discovery-Processing-QC feature'!C189,"AAAAAF/33Sc=")</f>
        <v>#VALUE!</v>
      </c>
      <c r="AO6" t="e">
        <f>AND('Discovery-Processing-QC feature'!D189,"AAAAAF/33Sg=")</f>
        <v>#VALUE!</v>
      </c>
      <c r="AP6" t="e">
        <f>AND('Discovery-Processing-QC feature'!E189,"AAAAAF/33Sk=")</f>
        <v>#VALUE!</v>
      </c>
      <c r="AQ6" t="e">
        <f>AND('Discovery-Processing-QC feature'!F189,"AAAAAF/33So=")</f>
        <v>#VALUE!</v>
      </c>
      <c r="AR6">
        <f>IF('Discovery-Processing-QC feature'!190:190,"AAAAAF/33Ss=",0)</f>
        <v>0</v>
      </c>
      <c r="AS6" t="e">
        <f>AND('Discovery-Processing-QC feature'!A190,"AAAAAF/33Sw=")</f>
        <v>#VALUE!</v>
      </c>
      <c r="AT6" t="e">
        <f>AND('Discovery-Processing-QC feature'!B190,"AAAAAF/33S0=")</f>
        <v>#VALUE!</v>
      </c>
      <c r="AU6" t="e">
        <f>AND('Discovery-Processing-QC feature'!C190,"AAAAAF/33S4=")</f>
        <v>#VALUE!</v>
      </c>
      <c r="AV6" t="e">
        <f>AND('Discovery-Processing-QC feature'!D190,"AAAAAF/33S8=")</f>
        <v>#VALUE!</v>
      </c>
      <c r="AW6" t="e">
        <f>AND('Discovery-Processing-QC feature'!E190,"AAAAAF/33TA=")</f>
        <v>#VALUE!</v>
      </c>
      <c r="AX6" t="e">
        <f>AND('Discovery-Processing-QC feature'!F190,"AAAAAF/33TE=")</f>
        <v>#VALUE!</v>
      </c>
      <c r="AY6">
        <f>IF('Discovery-Processing-QC feature'!191:191,"AAAAAF/33TI=",0)</f>
        <v>0</v>
      </c>
      <c r="AZ6" t="e">
        <f>AND('Discovery-Processing-QC feature'!A191,"AAAAAF/33TM=")</f>
        <v>#VALUE!</v>
      </c>
      <c r="BA6" t="e">
        <f>AND('Discovery-Processing-QC feature'!B191,"AAAAAF/33TQ=")</f>
        <v>#VALUE!</v>
      </c>
      <c r="BB6" t="e">
        <f>AND('Discovery-Processing-QC feature'!C191,"AAAAAF/33TU=")</f>
        <v>#VALUE!</v>
      </c>
      <c r="BC6" t="e">
        <f>AND('Discovery-Processing-QC feature'!D191,"AAAAAF/33TY=")</f>
        <v>#VALUE!</v>
      </c>
      <c r="BD6" t="e">
        <f>AND('Discovery-Processing-QC feature'!E191,"AAAAAF/33Tc=")</f>
        <v>#VALUE!</v>
      </c>
      <c r="BE6" t="e">
        <f>AND('Discovery-Processing-QC feature'!F191,"AAAAAF/33Tg=")</f>
        <v>#VALUE!</v>
      </c>
      <c r="BF6">
        <f>IF('Discovery-Processing-QC feature'!192:192,"AAAAAF/33Tk=",0)</f>
        <v>0</v>
      </c>
      <c r="BG6" t="e">
        <f>AND('Discovery-Processing-QC feature'!A192,"AAAAAF/33To=")</f>
        <v>#VALUE!</v>
      </c>
      <c r="BH6" t="e">
        <f>AND('Discovery-Processing-QC feature'!B192,"AAAAAF/33Ts=")</f>
        <v>#VALUE!</v>
      </c>
      <c r="BI6" t="e">
        <f>AND('Discovery-Processing-QC feature'!C192,"AAAAAF/33Tw=")</f>
        <v>#VALUE!</v>
      </c>
      <c r="BJ6" t="e">
        <f>AND('Discovery-Processing-QC feature'!D192,"AAAAAF/33T0=")</f>
        <v>#VALUE!</v>
      </c>
      <c r="BK6" t="e">
        <f>AND('Discovery-Processing-QC feature'!E192,"AAAAAF/33T4=")</f>
        <v>#VALUE!</v>
      </c>
      <c r="BL6" t="e">
        <f>AND('Discovery-Processing-QC feature'!F192,"AAAAAF/33T8=")</f>
        <v>#VALUE!</v>
      </c>
      <c r="BM6">
        <f>IF('Discovery-Processing-QC feature'!193:193,"AAAAAF/33UA=",0)</f>
        <v>0</v>
      </c>
      <c r="BN6" t="e">
        <f>AND('Discovery-Processing-QC feature'!A193,"AAAAAF/33UE=")</f>
        <v>#VALUE!</v>
      </c>
      <c r="BO6" t="e">
        <f>AND('Discovery-Processing-QC feature'!B193,"AAAAAF/33UI=")</f>
        <v>#VALUE!</v>
      </c>
      <c r="BP6" t="e">
        <f>AND('Discovery-Processing-QC feature'!C193,"AAAAAF/33UM=")</f>
        <v>#VALUE!</v>
      </c>
      <c r="BQ6" t="e">
        <f>AND('Discovery-Processing-QC feature'!D193,"AAAAAF/33UQ=")</f>
        <v>#VALUE!</v>
      </c>
      <c r="BR6" t="e">
        <f>AND('Discovery-Processing-QC feature'!E193,"AAAAAF/33UU=")</f>
        <v>#VALUE!</v>
      </c>
      <c r="BS6" t="e">
        <f>AND('Discovery-Processing-QC feature'!F193,"AAAAAF/33UY=")</f>
        <v>#VALUE!</v>
      </c>
      <c r="BT6">
        <f>IF('Discovery-Processing-QC feature'!194:194,"AAAAAF/33Uc=",0)</f>
        <v>0</v>
      </c>
      <c r="BU6" t="e">
        <f>AND('Discovery-Processing-QC feature'!A194,"AAAAAF/33Ug=")</f>
        <v>#VALUE!</v>
      </c>
      <c r="BV6" t="e">
        <f>AND('Discovery-Processing-QC feature'!B194,"AAAAAF/33Uk=")</f>
        <v>#VALUE!</v>
      </c>
      <c r="BW6" t="e">
        <f>AND('Discovery-Processing-QC feature'!C194,"AAAAAF/33Uo=")</f>
        <v>#VALUE!</v>
      </c>
      <c r="BX6" t="e">
        <f>AND('Discovery-Processing-QC feature'!D194,"AAAAAF/33Us=")</f>
        <v>#VALUE!</v>
      </c>
      <c r="BY6" t="e">
        <f>AND('Discovery-Processing-QC feature'!E194,"AAAAAF/33Uw=")</f>
        <v>#VALUE!</v>
      </c>
      <c r="BZ6" t="e">
        <f>AND('Discovery-Processing-QC feature'!F194,"AAAAAF/33U0=")</f>
        <v>#VALUE!</v>
      </c>
      <c r="CA6">
        <f>IF('Discovery-Processing-QC feature'!195:195,"AAAAAF/33U4=",0)</f>
        <v>0</v>
      </c>
      <c r="CB6" t="e">
        <f>AND('Discovery-Processing-QC feature'!A195,"AAAAAF/33U8=")</f>
        <v>#VALUE!</v>
      </c>
      <c r="CC6" t="e">
        <f>AND('Discovery-Processing-QC feature'!B195,"AAAAAF/33VA=")</f>
        <v>#VALUE!</v>
      </c>
      <c r="CD6" t="e">
        <f>AND('Discovery-Processing-QC feature'!C195,"AAAAAF/33VE=")</f>
        <v>#VALUE!</v>
      </c>
      <c r="CE6" t="e">
        <f>AND('Discovery-Processing-QC feature'!D195,"AAAAAF/33VI=")</f>
        <v>#VALUE!</v>
      </c>
      <c r="CF6" t="e">
        <f>AND('Discovery-Processing-QC feature'!E195,"AAAAAF/33VM=")</f>
        <v>#VALUE!</v>
      </c>
      <c r="CG6" t="e">
        <f>AND('Discovery-Processing-QC feature'!F195,"AAAAAF/33VQ=")</f>
        <v>#VALUE!</v>
      </c>
      <c r="CH6">
        <f>IF('Discovery-Processing-QC feature'!196:196,"AAAAAF/33VU=",0)</f>
        <v>0</v>
      </c>
      <c r="CI6" t="e">
        <f>AND('Discovery-Processing-QC feature'!A196,"AAAAAF/33VY=")</f>
        <v>#VALUE!</v>
      </c>
      <c r="CJ6" t="e">
        <f>AND('Discovery-Processing-QC feature'!B196,"AAAAAF/33Vc=")</f>
        <v>#VALUE!</v>
      </c>
      <c r="CK6" t="e">
        <f>AND('Discovery-Processing-QC feature'!C196,"AAAAAF/33Vg=")</f>
        <v>#VALUE!</v>
      </c>
      <c r="CL6" t="e">
        <f>AND('Discovery-Processing-QC feature'!D196,"AAAAAF/33Vk=")</f>
        <v>#VALUE!</v>
      </c>
      <c r="CM6" t="e">
        <f>AND('Discovery-Processing-QC feature'!E196,"AAAAAF/33Vo=")</f>
        <v>#VALUE!</v>
      </c>
      <c r="CN6" t="e">
        <f>AND('Discovery-Processing-QC feature'!F196,"AAAAAF/33Vs=")</f>
        <v>#VALUE!</v>
      </c>
      <c r="CO6">
        <f>IF('Discovery-Processing-QC feature'!197:197,"AAAAAF/33Vw=",0)</f>
        <v>0</v>
      </c>
      <c r="CP6" t="e">
        <f>AND('Discovery-Processing-QC feature'!A197,"AAAAAF/33V0=")</f>
        <v>#VALUE!</v>
      </c>
      <c r="CQ6" t="e">
        <f>AND('Discovery-Processing-QC feature'!B197,"AAAAAF/33V4=")</f>
        <v>#VALUE!</v>
      </c>
      <c r="CR6" t="e">
        <f>AND('Discovery-Processing-QC feature'!C197,"AAAAAF/33V8=")</f>
        <v>#VALUE!</v>
      </c>
      <c r="CS6" t="e">
        <f>AND('Discovery-Processing-QC feature'!D197,"AAAAAF/33WA=")</f>
        <v>#VALUE!</v>
      </c>
      <c r="CT6" t="e">
        <f>AND('Discovery-Processing-QC feature'!E197,"AAAAAF/33WE=")</f>
        <v>#VALUE!</v>
      </c>
      <c r="CU6" t="e">
        <f>AND('Discovery-Processing-QC feature'!F197,"AAAAAF/33WI=")</f>
        <v>#VALUE!</v>
      </c>
      <c r="CV6">
        <f>IF('Discovery-Processing-QC feature'!198:198,"AAAAAF/33WM=",0)</f>
        <v>0</v>
      </c>
      <c r="CW6" t="e">
        <f>AND('Discovery-Processing-QC feature'!A198,"AAAAAF/33WQ=")</f>
        <v>#VALUE!</v>
      </c>
      <c r="CX6" t="e">
        <f>AND('Discovery-Processing-QC feature'!B198,"AAAAAF/33WU=")</f>
        <v>#VALUE!</v>
      </c>
      <c r="CY6" t="e">
        <f>AND('Discovery-Processing-QC feature'!C198,"AAAAAF/33WY=")</f>
        <v>#VALUE!</v>
      </c>
      <c r="CZ6" t="e">
        <f>AND('Discovery-Processing-QC feature'!D198,"AAAAAF/33Wc=")</f>
        <v>#VALUE!</v>
      </c>
      <c r="DA6" t="e">
        <f>AND('Discovery-Processing-QC feature'!E198,"AAAAAF/33Wg=")</f>
        <v>#VALUE!</v>
      </c>
      <c r="DB6" t="e">
        <f>AND('Discovery-Processing-QC feature'!F198,"AAAAAF/33Wk=")</f>
        <v>#VALUE!</v>
      </c>
      <c r="DC6">
        <f>IF('Discovery-Processing-QC feature'!199:199,"AAAAAF/33Wo=",0)</f>
        <v>0</v>
      </c>
      <c r="DD6" t="e">
        <f>AND('Discovery-Processing-QC feature'!A199,"AAAAAF/33Ws=")</f>
        <v>#VALUE!</v>
      </c>
      <c r="DE6" t="e">
        <f>AND('Discovery-Processing-QC feature'!B199,"AAAAAF/33Ww=")</f>
        <v>#VALUE!</v>
      </c>
      <c r="DF6" t="e">
        <f>AND('Discovery-Processing-QC feature'!C199,"AAAAAF/33W0=")</f>
        <v>#VALUE!</v>
      </c>
      <c r="DG6" t="e">
        <f>AND('Discovery-Processing-QC feature'!D199,"AAAAAF/33W4=")</f>
        <v>#VALUE!</v>
      </c>
      <c r="DH6" t="e">
        <f>AND('Discovery-Processing-QC feature'!E199,"AAAAAF/33W8=")</f>
        <v>#VALUE!</v>
      </c>
      <c r="DI6" t="e">
        <f>AND('Discovery-Processing-QC feature'!F199,"AAAAAF/33XA=")</f>
        <v>#VALUE!</v>
      </c>
      <c r="DJ6">
        <f>IF('Discovery-Processing-QC feature'!200:200,"AAAAAF/33XE=",0)</f>
        <v>0</v>
      </c>
      <c r="DK6" t="e">
        <f>AND('Discovery-Processing-QC feature'!A200,"AAAAAF/33XI=")</f>
        <v>#VALUE!</v>
      </c>
      <c r="DL6" t="e">
        <f>AND('Discovery-Processing-QC feature'!B200,"AAAAAF/33XM=")</f>
        <v>#VALUE!</v>
      </c>
      <c r="DM6" t="e">
        <f>AND('Discovery-Processing-QC feature'!C200,"AAAAAF/33XQ=")</f>
        <v>#VALUE!</v>
      </c>
      <c r="DN6" t="e">
        <f>AND('Discovery-Processing-QC feature'!D200,"AAAAAF/33XU=")</f>
        <v>#VALUE!</v>
      </c>
      <c r="DO6" t="e">
        <f>AND('Discovery-Processing-QC feature'!E200,"AAAAAF/33XY=")</f>
        <v>#VALUE!</v>
      </c>
      <c r="DP6" t="e">
        <f>AND('Discovery-Processing-QC feature'!F200,"AAAAAF/33Xc=")</f>
        <v>#VALUE!</v>
      </c>
      <c r="DQ6">
        <f>IF('Discovery-Processing-QC feature'!201:201,"AAAAAF/33Xg=",0)</f>
        <v>0</v>
      </c>
      <c r="DR6" t="e">
        <f>AND('Discovery-Processing-QC feature'!A201,"AAAAAF/33Xk=")</f>
        <v>#VALUE!</v>
      </c>
      <c r="DS6" t="e">
        <f>AND('Discovery-Processing-QC feature'!B201,"AAAAAF/33Xo=")</f>
        <v>#VALUE!</v>
      </c>
      <c r="DT6" t="e">
        <f>AND('Discovery-Processing-QC feature'!C201,"AAAAAF/33Xs=")</f>
        <v>#VALUE!</v>
      </c>
      <c r="DU6" t="e">
        <f>AND('Discovery-Processing-QC feature'!D201,"AAAAAF/33Xw=")</f>
        <v>#VALUE!</v>
      </c>
      <c r="DV6" t="e">
        <f>AND('Discovery-Processing-QC feature'!E201,"AAAAAF/33X0=")</f>
        <v>#VALUE!</v>
      </c>
      <c r="DW6" t="e">
        <f>AND('Discovery-Processing-QC feature'!F201,"AAAAAF/33X4=")</f>
        <v>#VALUE!</v>
      </c>
      <c r="DX6">
        <f>IF('Discovery-Processing-QC feature'!202:202,"AAAAAF/33X8=",0)</f>
        <v>0</v>
      </c>
      <c r="DY6" t="e">
        <f>AND('Discovery-Processing-QC feature'!A202,"AAAAAF/33YA=")</f>
        <v>#VALUE!</v>
      </c>
      <c r="DZ6" t="e">
        <f>AND('Discovery-Processing-QC feature'!B202,"AAAAAF/33YE=")</f>
        <v>#VALUE!</v>
      </c>
      <c r="EA6" t="e">
        <f>AND('Discovery-Processing-QC feature'!C202,"AAAAAF/33YI=")</f>
        <v>#VALUE!</v>
      </c>
      <c r="EB6" t="e">
        <f>AND('Discovery-Processing-QC feature'!D202,"AAAAAF/33YM=")</f>
        <v>#VALUE!</v>
      </c>
      <c r="EC6" t="e">
        <f>AND('Discovery-Processing-QC feature'!E202,"AAAAAF/33YQ=")</f>
        <v>#VALUE!</v>
      </c>
      <c r="ED6" t="e">
        <f>AND('Discovery-Processing-QC feature'!F202,"AAAAAF/33YU=")</f>
        <v>#VALUE!</v>
      </c>
      <c r="EE6">
        <f>IF('Discovery-Processing-QC feature'!203:203,"AAAAAF/33YY=",0)</f>
        <v>0</v>
      </c>
      <c r="EF6" t="e">
        <f>AND('Discovery-Processing-QC feature'!A203,"AAAAAF/33Yc=")</f>
        <v>#VALUE!</v>
      </c>
      <c r="EG6" t="e">
        <f>AND('Discovery-Processing-QC feature'!B203,"AAAAAF/33Yg=")</f>
        <v>#VALUE!</v>
      </c>
      <c r="EH6" t="e">
        <f>AND('Discovery-Processing-QC feature'!C203,"AAAAAF/33Yk=")</f>
        <v>#VALUE!</v>
      </c>
      <c r="EI6" t="e">
        <f>AND('Discovery-Processing-QC feature'!D203,"AAAAAF/33Yo=")</f>
        <v>#VALUE!</v>
      </c>
      <c r="EJ6" t="e">
        <f>AND('Discovery-Processing-QC feature'!E203,"AAAAAF/33Ys=")</f>
        <v>#VALUE!</v>
      </c>
      <c r="EK6" t="e">
        <f>AND('Discovery-Processing-QC feature'!F203,"AAAAAF/33Yw=")</f>
        <v>#VALUE!</v>
      </c>
      <c r="EL6">
        <f>IF('Discovery-Processing-QC feature'!204:204,"AAAAAF/33Y0=",0)</f>
        <v>0</v>
      </c>
      <c r="EM6" t="e">
        <f>AND('Discovery-Processing-QC feature'!A204,"AAAAAF/33Y4=")</f>
        <v>#VALUE!</v>
      </c>
      <c r="EN6" t="e">
        <f>AND('Discovery-Processing-QC feature'!B204,"AAAAAF/33Y8=")</f>
        <v>#VALUE!</v>
      </c>
      <c r="EO6" t="e">
        <f>AND('Discovery-Processing-QC feature'!C204,"AAAAAF/33ZA=")</f>
        <v>#VALUE!</v>
      </c>
      <c r="EP6" t="e">
        <f>AND('Discovery-Processing-QC feature'!D204,"AAAAAF/33ZE=")</f>
        <v>#VALUE!</v>
      </c>
      <c r="EQ6" t="e">
        <f>AND('Discovery-Processing-QC feature'!E204,"AAAAAF/33ZI=")</f>
        <v>#VALUE!</v>
      </c>
      <c r="ER6" t="e">
        <f>AND('Discovery-Processing-QC feature'!F204,"AAAAAF/33ZM=")</f>
        <v>#VALUE!</v>
      </c>
      <c r="ES6">
        <f>IF('Discovery-Processing-QC feature'!205:205,"AAAAAF/33ZQ=",0)</f>
        <v>0</v>
      </c>
      <c r="ET6" t="e">
        <f>AND('Discovery-Processing-QC feature'!A205,"AAAAAF/33ZU=")</f>
        <v>#VALUE!</v>
      </c>
      <c r="EU6" t="e">
        <f>AND('Discovery-Processing-QC feature'!B205,"AAAAAF/33ZY=")</f>
        <v>#VALUE!</v>
      </c>
      <c r="EV6" t="e">
        <f>AND('Discovery-Processing-QC feature'!C205,"AAAAAF/33Zc=")</f>
        <v>#VALUE!</v>
      </c>
      <c r="EW6" t="e">
        <f>AND('Discovery-Processing-QC feature'!D205,"AAAAAF/33Zg=")</f>
        <v>#VALUE!</v>
      </c>
      <c r="EX6" t="e">
        <f>AND('Discovery-Processing-QC feature'!E205,"AAAAAF/33Zk=")</f>
        <v>#VALUE!</v>
      </c>
      <c r="EY6" t="e">
        <f>AND('Discovery-Processing-QC feature'!F205,"AAAAAF/33Zo=")</f>
        <v>#VALUE!</v>
      </c>
      <c r="EZ6">
        <f>IF('Discovery-Processing-QC feature'!206:206,"AAAAAF/33Zs=",0)</f>
        <v>0</v>
      </c>
      <c r="FA6" t="e">
        <f>AND('Discovery-Processing-QC feature'!A206,"AAAAAF/33Zw=")</f>
        <v>#VALUE!</v>
      </c>
      <c r="FB6" t="e">
        <f>AND('Discovery-Processing-QC feature'!B206,"AAAAAF/33Z0=")</f>
        <v>#VALUE!</v>
      </c>
      <c r="FC6" t="e">
        <f>AND('Discovery-Processing-QC feature'!C206,"AAAAAF/33Z4=")</f>
        <v>#VALUE!</v>
      </c>
      <c r="FD6" t="e">
        <f>AND('Discovery-Processing-QC feature'!D206,"AAAAAF/33Z8=")</f>
        <v>#VALUE!</v>
      </c>
      <c r="FE6" t="e">
        <f>AND('Discovery-Processing-QC feature'!E206,"AAAAAF/33aA=")</f>
        <v>#VALUE!</v>
      </c>
      <c r="FF6" t="e">
        <f>AND('Discovery-Processing-QC feature'!F206,"AAAAAF/33aE=")</f>
        <v>#VALUE!</v>
      </c>
      <c r="FG6">
        <f>IF('Discovery-Processing-QC feature'!207:207,"AAAAAF/33aI=",0)</f>
        <v>0</v>
      </c>
      <c r="FH6" t="e">
        <f>AND('Discovery-Processing-QC feature'!A207,"AAAAAF/33aM=")</f>
        <v>#VALUE!</v>
      </c>
      <c r="FI6" t="e">
        <f>AND('Discovery-Processing-QC feature'!B207,"AAAAAF/33aQ=")</f>
        <v>#VALUE!</v>
      </c>
      <c r="FJ6" t="e">
        <f>AND('Discovery-Processing-QC feature'!C207,"AAAAAF/33aU=")</f>
        <v>#VALUE!</v>
      </c>
      <c r="FK6" t="e">
        <f>AND('Discovery-Processing-QC feature'!D207,"AAAAAF/33aY=")</f>
        <v>#VALUE!</v>
      </c>
      <c r="FL6" t="e">
        <f>AND('Discovery-Processing-QC feature'!E207,"AAAAAF/33ac=")</f>
        <v>#VALUE!</v>
      </c>
      <c r="FM6" t="e">
        <f>AND('Discovery-Processing-QC feature'!F207,"AAAAAF/33ag=")</f>
        <v>#VALUE!</v>
      </c>
      <c r="FN6">
        <f>IF('Discovery-Processing-QC feature'!208:208,"AAAAAF/33ak=",0)</f>
        <v>0</v>
      </c>
      <c r="FO6" t="e">
        <f>AND('Discovery-Processing-QC feature'!A208,"AAAAAF/33ao=")</f>
        <v>#VALUE!</v>
      </c>
      <c r="FP6" t="e">
        <f>AND('Discovery-Processing-QC feature'!B208,"AAAAAF/33as=")</f>
        <v>#VALUE!</v>
      </c>
      <c r="FQ6" t="e">
        <f>AND('Discovery-Processing-QC feature'!C208,"AAAAAF/33aw=")</f>
        <v>#VALUE!</v>
      </c>
      <c r="FR6" t="e">
        <f>AND('Discovery-Processing-QC feature'!D208,"AAAAAF/33a0=")</f>
        <v>#VALUE!</v>
      </c>
      <c r="FS6" t="e">
        <f>AND('Discovery-Processing-QC feature'!E208,"AAAAAF/33a4=")</f>
        <v>#VALUE!</v>
      </c>
      <c r="FT6" t="e">
        <f>AND('Discovery-Processing-QC feature'!F208,"AAAAAF/33a8=")</f>
        <v>#VALUE!</v>
      </c>
      <c r="FU6">
        <f>IF('Discovery-Processing-QC feature'!209:209,"AAAAAF/33bA=",0)</f>
        <v>0</v>
      </c>
      <c r="FV6" t="e">
        <f>AND('Discovery-Processing-QC feature'!A209,"AAAAAF/33bE=")</f>
        <v>#VALUE!</v>
      </c>
      <c r="FW6" t="e">
        <f>AND('Discovery-Processing-QC feature'!B209,"AAAAAF/33bI=")</f>
        <v>#VALUE!</v>
      </c>
      <c r="FX6" t="e">
        <f>AND('Discovery-Processing-QC feature'!C209,"AAAAAF/33bM=")</f>
        <v>#VALUE!</v>
      </c>
      <c r="FY6" t="e">
        <f>AND('Discovery-Processing-QC feature'!D209,"AAAAAF/33bQ=")</f>
        <v>#VALUE!</v>
      </c>
      <c r="FZ6" t="e">
        <f>AND('Discovery-Processing-QC feature'!E209,"AAAAAF/33bU=")</f>
        <v>#VALUE!</v>
      </c>
      <c r="GA6" t="e">
        <f>AND('Discovery-Processing-QC feature'!F209,"AAAAAF/33bY=")</f>
        <v>#VALUE!</v>
      </c>
      <c r="GB6">
        <f>IF('Discovery-Processing-QC feature'!210:210,"AAAAAF/33bc=",0)</f>
        <v>0</v>
      </c>
      <c r="GC6" t="e">
        <f>AND('Discovery-Processing-QC feature'!A210,"AAAAAF/33bg=")</f>
        <v>#VALUE!</v>
      </c>
      <c r="GD6" t="e">
        <f>AND('Discovery-Processing-QC feature'!B210,"AAAAAF/33bk=")</f>
        <v>#VALUE!</v>
      </c>
      <c r="GE6" t="e">
        <f>AND('Discovery-Processing-QC feature'!C210,"AAAAAF/33bo=")</f>
        <v>#VALUE!</v>
      </c>
      <c r="GF6" t="e">
        <f>AND('Discovery-Processing-QC feature'!D210,"AAAAAF/33bs=")</f>
        <v>#VALUE!</v>
      </c>
      <c r="GG6" t="e">
        <f>AND('Discovery-Processing-QC feature'!E210,"AAAAAF/33bw=")</f>
        <v>#VALUE!</v>
      </c>
      <c r="GH6" t="e">
        <f>AND('Discovery-Processing-QC feature'!F210,"AAAAAF/33b0=")</f>
        <v>#VALUE!</v>
      </c>
      <c r="GI6">
        <f>IF('Discovery-Processing-QC feature'!211:211,"AAAAAF/33b4=",0)</f>
        <v>0</v>
      </c>
      <c r="GJ6" t="e">
        <f>AND('Discovery-Processing-QC feature'!A211,"AAAAAF/33b8=")</f>
        <v>#VALUE!</v>
      </c>
      <c r="GK6" t="e">
        <f>AND('Discovery-Processing-QC feature'!B211,"AAAAAF/33cA=")</f>
        <v>#VALUE!</v>
      </c>
      <c r="GL6" t="e">
        <f>AND('Discovery-Processing-QC feature'!C211,"AAAAAF/33cE=")</f>
        <v>#VALUE!</v>
      </c>
      <c r="GM6" t="e">
        <f>AND('Discovery-Processing-QC feature'!D211,"AAAAAF/33cI=")</f>
        <v>#VALUE!</v>
      </c>
      <c r="GN6" t="e">
        <f>AND('Discovery-Processing-QC feature'!E211,"AAAAAF/33cM=")</f>
        <v>#VALUE!</v>
      </c>
      <c r="GO6" t="e">
        <f>AND('Discovery-Processing-QC feature'!F211,"AAAAAF/33cQ=")</f>
        <v>#VALUE!</v>
      </c>
      <c r="GP6">
        <f>IF('Discovery-Processing-QC feature'!212:212,"AAAAAF/33cU=",0)</f>
        <v>0</v>
      </c>
      <c r="GQ6" t="e">
        <f>AND('Discovery-Processing-QC feature'!A212,"AAAAAF/33cY=")</f>
        <v>#VALUE!</v>
      </c>
      <c r="GR6" t="e">
        <f>AND('Discovery-Processing-QC feature'!B212,"AAAAAF/33cc=")</f>
        <v>#VALUE!</v>
      </c>
      <c r="GS6" t="e">
        <f>AND('Discovery-Processing-QC feature'!C212,"AAAAAF/33cg=")</f>
        <v>#VALUE!</v>
      </c>
      <c r="GT6" t="e">
        <f>AND('Discovery-Processing-QC feature'!D212,"AAAAAF/33ck=")</f>
        <v>#VALUE!</v>
      </c>
      <c r="GU6" t="e">
        <f>AND('Discovery-Processing-QC feature'!E212,"AAAAAF/33co=")</f>
        <v>#VALUE!</v>
      </c>
      <c r="GV6" t="e">
        <f>AND('Discovery-Processing-QC feature'!F212,"AAAAAF/33cs=")</f>
        <v>#VALUE!</v>
      </c>
      <c r="GW6">
        <f>IF('Discovery-Processing-QC feature'!213:213,"AAAAAF/33cw=",0)</f>
        <v>0</v>
      </c>
      <c r="GX6" t="e">
        <f>AND('Discovery-Processing-QC feature'!A213,"AAAAAF/33c0=")</f>
        <v>#VALUE!</v>
      </c>
      <c r="GY6" t="e">
        <f>AND('Discovery-Processing-QC feature'!B213,"AAAAAF/33c4=")</f>
        <v>#VALUE!</v>
      </c>
      <c r="GZ6" t="e">
        <f>AND('Discovery-Processing-QC feature'!C213,"AAAAAF/33c8=")</f>
        <v>#VALUE!</v>
      </c>
      <c r="HA6" t="e">
        <f>AND('Discovery-Processing-QC feature'!D213,"AAAAAF/33dA=")</f>
        <v>#VALUE!</v>
      </c>
      <c r="HB6" t="e">
        <f>AND('Discovery-Processing-QC feature'!E213,"AAAAAF/33dE=")</f>
        <v>#VALUE!</v>
      </c>
      <c r="HC6" t="e">
        <f>AND('Discovery-Processing-QC feature'!F213,"AAAAAF/33dI=")</f>
        <v>#VALUE!</v>
      </c>
      <c r="HD6">
        <f>IF('Discovery-Processing-QC feature'!214:214,"AAAAAF/33dM=",0)</f>
        <v>0</v>
      </c>
      <c r="HE6" t="e">
        <f>AND('Discovery-Processing-QC feature'!A214,"AAAAAF/33dQ=")</f>
        <v>#VALUE!</v>
      </c>
      <c r="HF6" t="e">
        <f>AND('Discovery-Processing-QC feature'!B214,"AAAAAF/33dU=")</f>
        <v>#VALUE!</v>
      </c>
      <c r="HG6" t="e">
        <f>AND('Discovery-Processing-QC feature'!C214,"AAAAAF/33dY=")</f>
        <v>#VALUE!</v>
      </c>
      <c r="HH6" t="e">
        <f>AND('Discovery-Processing-QC feature'!D214,"AAAAAF/33dc=")</f>
        <v>#VALUE!</v>
      </c>
      <c r="HI6" t="e">
        <f>AND('Discovery-Processing-QC feature'!E214,"AAAAAF/33dg=")</f>
        <v>#VALUE!</v>
      </c>
      <c r="HJ6" t="e">
        <f>AND('Discovery-Processing-QC feature'!F214,"AAAAAF/33dk=")</f>
        <v>#VALUE!</v>
      </c>
      <c r="HK6">
        <f>IF('Discovery-Processing-QC feature'!215:215,"AAAAAF/33do=",0)</f>
        <v>0</v>
      </c>
      <c r="HL6" t="e">
        <f>AND('Discovery-Processing-QC feature'!A215,"AAAAAF/33ds=")</f>
        <v>#VALUE!</v>
      </c>
      <c r="HM6" t="e">
        <f>AND('Discovery-Processing-QC feature'!B215,"AAAAAF/33dw=")</f>
        <v>#VALUE!</v>
      </c>
      <c r="HN6" t="e">
        <f>AND('Discovery-Processing-QC feature'!C215,"AAAAAF/33d0=")</f>
        <v>#VALUE!</v>
      </c>
      <c r="HO6" t="e">
        <f>AND('Discovery-Processing-QC feature'!D215,"AAAAAF/33d4=")</f>
        <v>#VALUE!</v>
      </c>
      <c r="HP6" t="e">
        <f>AND('Discovery-Processing-QC feature'!E215,"AAAAAF/33d8=")</f>
        <v>#VALUE!</v>
      </c>
      <c r="HQ6" t="e">
        <f>AND('Discovery-Processing-QC feature'!F215,"AAAAAF/33eA=")</f>
        <v>#VALUE!</v>
      </c>
      <c r="HR6">
        <f>IF('Discovery-Processing-QC feature'!216:216,"AAAAAF/33eE=",0)</f>
        <v>0</v>
      </c>
      <c r="HS6" t="e">
        <f>AND('Discovery-Processing-QC feature'!A216,"AAAAAF/33eI=")</f>
        <v>#VALUE!</v>
      </c>
      <c r="HT6" t="e">
        <f>AND('Discovery-Processing-QC feature'!B216,"AAAAAF/33eM=")</f>
        <v>#VALUE!</v>
      </c>
      <c r="HU6" t="e">
        <f>AND('Discovery-Processing-QC feature'!C216,"AAAAAF/33eQ=")</f>
        <v>#VALUE!</v>
      </c>
      <c r="HV6" t="e">
        <f>AND('Discovery-Processing-QC feature'!D216,"AAAAAF/33eU=")</f>
        <v>#VALUE!</v>
      </c>
      <c r="HW6" t="e">
        <f>AND('Discovery-Processing-QC feature'!E216,"AAAAAF/33eY=")</f>
        <v>#VALUE!</v>
      </c>
      <c r="HX6" t="e">
        <f>AND('Discovery-Processing-QC feature'!F216,"AAAAAF/33ec=")</f>
        <v>#VALUE!</v>
      </c>
      <c r="HY6">
        <f>IF('Discovery-Processing-QC feature'!217:217,"AAAAAF/33eg=",0)</f>
        <v>0</v>
      </c>
      <c r="HZ6" t="e">
        <f>AND('Discovery-Processing-QC feature'!A217,"AAAAAF/33ek=")</f>
        <v>#VALUE!</v>
      </c>
      <c r="IA6" t="e">
        <f>AND('Discovery-Processing-QC feature'!B217,"AAAAAF/33eo=")</f>
        <v>#VALUE!</v>
      </c>
      <c r="IB6" t="e">
        <f>AND('Discovery-Processing-QC feature'!C217,"AAAAAF/33es=")</f>
        <v>#VALUE!</v>
      </c>
      <c r="IC6" t="e">
        <f>AND('Discovery-Processing-QC feature'!D217,"AAAAAF/33ew=")</f>
        <v>#VALUE!</v>
      </c>
      <c r="ID6" t="e">
        <f>AND('Discovery-Processing-QC feature'!E217,"AAAAAF/33e0=")</f>
        <v>#VALUE!</v>
      </c>
      <c r="IE6" t="e">
        <f>AND('Discovery-Processing-QC feature'!F217,"AAAAAF/33e4=")</f>
        <v>#VALUE!</v>
      </c>
      <c r="IF6">
        <f>IF('Discovery-Processing-QC feature'!218:218,"AAAAAF/33e8=",0)</f>
        <v>0</v>
      </c>
      <c r="IG6" t="e">
        <f>AND('Discovery-Processing-QC feature'!A218,"AAAAAF/33fA=")</f>
        <v>#VALUE!</v>
      </c>
      <c r="IH6" t="e">
        <f>AND('Discovery-Processing-QC feature'!B218,"AAAAAF/33fE=")</f>
        <v>#VALUE!</v>
      </c>
      <c r="II6" t="e">
        <f>AND('Discovery-Processing-QC feature'!C218,"AAAAAF/33fI=")</f>
        <v>#VALUE!</v>
      </c>
      <c r="IJ6" t="e">
        <f>AND('Discovery-Processing-QC feature'!D218,"AAAAAF/33fM=")</f>
        <v>#VALUE!</v>
      </c>
      <c r="IK6" t="e">
        <f>AND('Discovery-Processing-QC feature'!E218,"AAAAAF/33fQ=")</f>
        <v>#VALUE!</v>
      </c>
      <c r="IL6" t="e">
        <f>AND('Discovery-Processing-QC feature'!F218,"AAAAAF/33fU=")</f>
        <v>#VALUE!</v>
      </c>
      <c r="IM6">
        <f>IF('Discovery-Processing-QC feature'!219:219,"AAAAAF/33fY=",0)</f>
        <v>0</v>
      </c>
      <c r="IN6" t="e">
        <f>AND('Discovery-Processing-QC feature'!A219,"AAAAAF/33fc=")</f>
        <v>#VALUE!</v>
      </c>
      <c r="IO6" t="e">
        <f>AND('Discovery-Processing-QC feature'!B219,"AAAAAF/33fg=")</f>
        <v>#VALUE!</v>
      </c>
      <c r="IP6" t="e">
        <f>AND('Discovery-Processing-QC feature'!C219,"AAAAAF/33fk=")</f>
        <v>#VALUE!</v>
      </c>
      <c r="IQ6" t="e">
        <f>AND('Discovery-Processing-QC feature'!D219,"AAAAAF/33fo=")</f>
        <v>#VALUE!</v>
      </c>
      <c r="IR6" t="e">
        <f>AND('Discovery-Processing-QC feature'!E219,"AAAAAF/33fs=")</f>
        <v>#VALUE!</v>
      </c>
      <c r="IS6" t="e">
        <f>AND('Discovery-Processing-QC feature'!F219,"AAAAAF/33fw=")</f>
        <v>#VALUE!</v>
      </c>
      <c r="IT6">
        <f>IF('Discovery-Processing-QC feature'!220:220,"AAAAAF/33f0=",0)</f>
        <v>0</v>
      </c>
      <c r="IU6" t="e">
        <f>AND('Discovery-Processing-QC feature'!A220,"AAAAAF/33f4=")</f>
        <v>#VALUE!</v>
      </c>
      <c r="IV6" t="e">
        <f>AND('Discovery-Processing-QC feature'!B220,"AAAAAF/33f8=")</f>
        <v>#VALUE!</v>
      </c>
    </row>
    <row r="7" spans="1:256" x14ac:dyDescent="0.2">
      <c r="A7" t="e">
        <f>AND('Discovery-Processing-QC feature'!C220,"AAAAAH97fwA=")</f>
        <v>#VALUE!</v>
      </c>
      <c r="B7" t="e">
        <f>AND('Discovery-Processing-QC feature'!D220,"AAAAAH97fwE=")</f>
        <v>#VALUE!</v>
      </c>
      <c r="C7" t="e">
        <f>AND('Discovery-Processing-QC feature'!E220,"AAAAAH97fwI=")</f>
        <v>#VALUE!</v>
      </c>
      <c r="D7" t="e">
        <f>AND('Discovery-Processing-QC feature'!F220,"AAAAAH97fwM=")</f>
        <v>#VALUE!</v>
      </c>
      <c r="E7">
        <f>IF('Discovery-Processing-QC feature'!221:221,"AAAAAH97fwQ=",0)</f>
        <v>0</v>
      </c>
      <c r="F7" t="e">
        <f>AND('Discovery-Processing-QC feature'!A221,"AAAAAH97fwU=")</f>
        <v>#VALUE!</v>
      </c>
      <c r="G7" t="e">
        <f>AND('Discovery-Processing-QC feature'!B221,"AAAAAH97fwY=")</f>
        <v>#VALUE!</v>
      </c>
      <c r="H7" t="e">
        <f>AND('Discovery-Processing-QC feature'!C221,"AAAAAH97fwc=")</f>
        <v>#VALUE!</v>
      </c>
      <c r="I7" t="e">
        <f>AND('Discovery-Processing-QC feature'!D221,"AAAAAH97fwg=")</f>
        <v>#VALUE!</v>
      </c>
      <c r="J7" t="e">
        <f>AND('Discovery-Processing-QC feature'!E221,"AAAAAH97fwk=")</f>
        <v>#VALUE!</v>
      </c>
      <c r="K7" t="e">
        <f>AND('Discovery-Processing-QC feature'!F221,"AAAAAH97fwo=")</f>
        <v>#VALUE!</v>
      </c>
      <c r="L7">
        <f>IF('Discovery-Processing-QC feature'!222:222,"AAAAAH97fws=",0)</f>
        <v>0</v>
      </c>
      <c r="M7" t="e">
        <f>AND('Discovery-Processing-QC feature'!A222,"AAAAAH97fww=")</f>
        <v>#VALUE!</v>
      </c>
      <c r="N7" t="e">
        <f>AND('Discovery-Processing-QC feature'!B222,"AAAAAH97fw0=")</f>
        <v>#VALUE!</v>
      </c>
      <c r="O7" t="e">
        <f>AND('Discovery-Processing-QC feature'!C222,"AAAAAH97fw4=")</f>
        <v>#VALUE!</v>
      </c>
      <c r="P7" t="e">
        <f>AND('Discovery-Processing-QC feature'!D222,"AAAAAH97fw8=")</f>
        <v>#VALUE!</v>
      </c>
      <c r="Q7" t="e">
        <f>AND('Discovery-Processing-QC feature'!E222,"AAAAAH97fxA=")</f>
        <v>#VALUE!</v>
      </c>
      <c r="R7" t="e">
        <f>AND('Discovery-Processing-QC feature'!F222,"AAAAAH97fxE=")</f>
        <v>#VALUE!</v>
      </c>
      <c r="S7">
        <f>IF('Discovery-Processing-QC feature'!223:223,"AAAAAH97fxI=",0)</f>
        <v>0</v>
      </c>
      <c r="T7" t="e">
        <f>AND('Discovery-Processing-QC feature'!A223,"AAAAAH97fxM=")</f>
        <v>#VALUE!</v>
      </c>
      <c r="U7" t="e">
        <f>AND('Discovery-Processing-QC feature'!B223,"AAAAAH97fxQ=")</f>
        <v>#VALUE!</v>
      </c>
      <c r="V7" t="e">
        <f>AND('Discovery-Processing-QC feature'!C223,"AAAAAH97fxU=")</f>
        <v>#VALUE!</v>
      </c>
      <c r="W7" t="e">
        <f>AND('Discovery-Processing-QC feature'!D223,"AAAAAH97fxY=")</f>
        <v>#VALUE!</v>
      </c>
      <c r="X7" t="e">
        <f>AND('Discovery-Processing-QC feature'!E223,"AAAAAH97fxc=")</f>
        <v>#VALUE!</v>
      </c>
      <c r="Y7" t="e">
        <f>AND('Discovery-Processing-QC feature'!F223,"AAAAAH97fxg=")</f>
        <v>#VALUE!</v>
      </c>
      <c r="Z7">
        <f>IF('Discovery-Processing-QC feature'!224:224,"AAAAAH97fxk=",0)</f>
        <v>0</v>
      </c>
      <c r="AA7" t="e">
        <f>AND('Discovery-Processing-QC feature'!A224,"AAAAAH97fxo=")</f>
        <v>#VALUE!</v>
      </c>
      <c r="AB7" t="e">
        <f>AND('Discovery-Processing-QC feature'!B224,"AAAAAH97fxs=")</f>
        <v>#VALUE!</v>
      </c>
      <c r="AC7" t="e">
        <f>AND('Discovery-Processing-QC feature'!C224,"AAAAAH97fxw=")</f>
        <v>#VALUE!</v>
      </c>
      <c r="AD7" t="e">
        <f>AND('Discovery-Processing-QC feature'!D224,"AAAAAH97fx0=")</f>
        <v>#VALUE!</v>
      </c>
      <c r="AE7" t="e">
        <f>AND('Discovery-Processing-QC feature'!E224,"AAAAAH97fx4=")</f>
        <v>#VALUE!</v>
      </c>
      <c r="AF7" t="e">
        <f>AND('Discovery-Processing-QC feature'!F224,"AAAAAH97fx8=")</f>
        <v>#VALUE!</v>
      </c>
      <c r="AG7">
        <f>IF('Discovery-Processing-QC feature'!225:225,"AAAAAH97fyA=",0)</f>
        <v>0</v>
      </c>
      <c r="AH7" t="e">
        <f>AND('Discovery-Processing-QC feature'!A225,"AAAAAH97fyE=")</f>
        <v>#VALUE!</v>
      </c>
      <c r="AI7" t="e">
        <f>AND('Discovery-Processing-QC feature'!B225,"AAAAAH97fyI=")</f>
        <v>#VALUE!</v>
      </c>
      <c r="AJ7" t="e">
        <f>AND('Discovery-Processing-QC feature'!C225,"AAAAAH97fyM=")</f>
        <v>#VALUE!</v>
      </c>
      <c r="AK7" t="e">
        <f>AND('Discovery-Processing-QC feature'!D225,"AAAAAH97fyQ=")</f>
        <v>#VALUE!</v>
      </c>
      <c r="AL7" t="e">
        <f>AND('Discovery-Processing-QC feature'!E225,"AAAAAH97fyU=")</f>
        <v>#VALUE!</v>
      </c>
      <c r="AM7" t="e">
        <f>AND('Discovery-Processing-QC feature'!F225,"AAAAAH97fyY=")</f>
        <v>#VALUE!</v>
      </c>
      <c r="AN7">
        <f>IF('Discovery-Processing-QC feature'!226:226,"AAAAAH97fyc=",0)</f>
        <v>0</v>
      </c>
      <c r="AO7" t="e">
        <f>AND('Discovery-Processing-QC feature'!A226,"AAAAAH97fyg=")</f>
        <v>#VALUE!</v>
      </c>
      <c r="AP7" t="e">
        <f>AND('Discovery-Processing-QC feature'!B226,"AAAAAH97fyk=")</f>
        <v>#VALUE!</v>
      </c>
      <c r="AQ7" t="e">
        <f>AND('Discovery-Processing-QC feature'!C226,"AAAAAH97fyo=")</f>
        <v>#VALUE!</v>
      </c>
      <c r="AR7" t="e">
        <f>AND('Discovery-Processing-QC feature'!D226,"AAAAAH97fys=")</f>
        <v>#VALUE!</v>
      </c>
      <c r="AS7" t="e">
        <f>AND('Discovery-Processing-QC feature'!E226,"AAAAAH97fyw=")</f>
        <v>#VALUE!</v>
      </c>
      <c r="AT7" t="e">
        <f>AND('Discovery-Processing-QC feature'!F226,"AAAAAH97fy0=")</f>
        <v>#VALUE!</v>
      </c>
      <c r="AU7">
        <f>IF('Discovery-Processing-QC feature'!227:227,"AAAAAH97fy4=",0)</f>
        <v>0</v>
      </c>
      <c r="AV7" t="e">
        <f>AND('Discovery-Processing-QC feature'!A227,"AAAAAH97fy8=")</f>
        <v>#VALUE!</v>
      </c>
      <c r="AW7" t="e">
        <f>AND('Discovery-Processing-QC feature'!B227,"AAAAAH97fzA=")</f>
        <v>#VALUE!</v>
      </c>
      <c r="AX7" t="e">
        <f>AND('Discovery-Processing-QC feature'!C227,"AAAAAH97fzE=")</f>
        <v>#VALUE!</v>
      </c>
      <c r="AY7" t="e">
        <f>AND('Discovery-Processing-QC feature'!D227,"AAAAAH97fzI=")</f>
        <v>#VALUE!</v>
      </c>
      <c r="AZ7" t="e">
        <f>AND('Discovery-Processing-QC feature'!E227,"AAAAAH97fzM=")</f>
        <v>#VALUE!</v>
      </c>
      <c r="BA7" t="e">
        <f>AND('Discovery-Processing-QC feature'!F227,"AAAAAH97fzQ=")</f>
        <v>#VALUE!</v>
      </c>
      <c r="BB7">
        <f>IF('Discovery-Processing-QC feature'!228:228,"AAAAAH97fzU=",0)</f>
        <v>0</v>
      </c>
      <c r="BC7" t="e">
        <f>AND('Discovery-Processing-QC feature'!A228,"AAAAAH97fzY=")</f>
        <v>#VALUE!</v>
      </c>
      <c r="BD7" t="e">
        <f>AND('Discovery-Processing-QC feature'!B228,"AAAAAH97fzc=")</f>
        <v>#VALUE!</v>
      </c>
      <c r="BE7" t="e">
        <f>AND('Discovery-Processing-QC feature'!C228,"AAAAAH97fzg=")</f>
        <v>#VALUE!</v>
      </c>
      <c r="BF7" t="e">
        <f>AND('Discovery-Processing-QC feature'!D228,"AAAAAH97fzk=")</f>
        <v>#VALUE!</v>
      </c>
      <c r="BG7" t="e">
        <f>AND('Discovery-Processing-QC feature'!E228,"AAAAAH97fzo=")</f>
        <v>#VALUE!</v>
      </c>
      <c r="BH7" t="e">
        <f>AND('Discovery-Processing-QC feature'!F228,"AAAAAH97fzs=")</f>
        <v>#VALUE!</v>
      </c>
      <c r="BI7">
        <f>IF('Discovery-Processing-QC feature'!229:229,"AAAAAH97fzw=",0)</f>
        <v>0</v>
      </c>
      <c r="BJ7" t="e">
        <f>AND('Discovery-Processing-QC feature'!A229,"AAAAAH97fz0=")</f>
        <v>#VALUE!</v>
      </c>
      <c r="BK7" t="e">
        <f>AND('Discovery-Processing-QC feature'!B229,"AAAAAH97fz4=")</f>
        <v>#VALUE!</v>
      </c>
      <c r="BL7" t="e">
        <f>AND('Discovery-Processing-QC feature'!C229,"AAAAAH97fz8=")</f>
        <v>#VALUE!</v>
      </c>
      <c r="BM7" t="e">
        <f>AND('Discovery-Processing-QC feature'!D229,"AAAAAH97f0A=")</f>
        <v>#VALUE!</v>
      </c>
      <c r="BN7" t="e">
        <f>AND('Discovery-Processing-QC feature'!E229,"AAAAAH97f0E=")</f>
        <v>#VALUE!</v>
      </c>
      <c r="BO7" t="e">
        <f>AND('Discovery-Processing-QC feature'!F229,"AAAAAH97f0I=")</f>
        <v>#VALUE!</v>
      </c>
      <c r="BP7">
        <f>IF('Discovery-Processing-QC feature'!230:230,"AAAAAH97f0M=",0)</f>
        <v>0</v>
      </c>
      <c r="BQ7" t="e">
        <f>AND('Discovery-Processing-QC feature'!A230,"AAAAAH97f0Q=")</f>
        <v>#VALUE!</v>
      </c>
      <c r="BR7" t="e">
        <f>AND('Discovery-Processing-QC feature'!B230,"AAAAAH97f0U=")</f>
        <v>#VALUE!</v>
      </c>
      <c r="BS7" t="e">
        <f>AND('Discovery-Processing-QC feature'!C230,"AAAAAH97f0Y=")</f>
        <v>#VALUE!</v>
      </c>
      <c r="BT7" t="e">
        <f>AND('Discovery-Processing-QC feature'!D230,"AAAAAH97f0c=")</f>
        <v>#VALUE!</v>
      </c>
      <c r="BU7" t="e">
        <f>AND('Discovery-Processing-QC feature'!E230,"AAAAAH97f0g=")</f>
        <v>#VALUE!</v>
      </c>
      <c r="BV7" t="e">
        <f>AND('Discovery-Processing-QC feature'!F230,"AAAAAH97f0k=")</f>
        <v>#VALUE!</v>
      </c>
      <c r="BW7">
        <f>IF('Discovery-Processing-QC feature'!231:231,"AAAAAH97f0o=",0)</f>
        <v>0</v>
      </c>
      <c r="BX7" t="e">
        <f>AND('Discovery-Processing-QC feature'!A231,"AAAAAH97f0s=")</f>
        <v>#VALUE!</v>
      </c>
      <c r="BY7" t="e">
        <f>AND('Discovery-Processing-QC feature'!B231,"AAAAAH97f0w=")</f>
        <v>#VALUE!</v>
      </c>
      <c r="BZ7" t="e">
        <f>AND('Discovery-Processing-QC feature'!C231,"AAAAAH97f00=")</f>
        <v>#VALUE!</v>
      </c>
      <c r="CA7" t="e">
        <f>AND('Discovery-Processing-QC feature'!D231,"AAAAAH97f04=")</f>
        <v>#VALUE!</v>
      </c>
      <c r="CB7" t="e">
        <f>AND('Discovery-Processing-QC feature'!E231,"AAAAAH97f08=")</f>
        <v>#VALUE!</v>
      </c>
      <c r="CC7" t="e">
        <f>AND('Discovery-Processing-QC feature'!F231,"AAAAAH97f1A=")</f>
        <v>#VALUE!</v>
      </c>
      <c r="CD7">
        <f>IF('Discovery-Processing-QC feature'!232:232,"AAAAAH97f1E=",0)</f>
        <v>0</v>
      </c>
      <c r="CE7" t="e">
        <f>AND('Discovery-Processing-QC feature'!A232,"AAAAAH97f1I=")</f>
        <v>#VALUE!</v>
      </c>
      <c r="CF7" t="e">
        <f>AND('Discovery-Processing-QC feature'!B232,"AAAAAH97f1M=")</f>
        <v>#VALUE!</v>
      </c>
      <c r="CG7" t="e">
        <f>AND('Discovery-Processing-QC feature'!C232,"AAAAAH97f1Q=")</f>
        <v>#VALUE!</v>
      </c>
      <c r="CH7" t="e">
        <f>AND('Discovery-Processing-QC feature'!D232,"AAAAAH97f1U=")</f>
        <v>#VALUE!</v>
      </c>
      <c r="CI7" t="e">
        <f>AND('Discovery-Processing-QC feature'!E232,"AAAAAH97f1Y=")</f>
        <v>#VALUE!</v>
      </c>
      <c r="CJ7" t="e">
        <f>AND('Discovery-Processing-QC feature'!F232,"AAAAAH97f1c=")</f>
        <v>#VALUE!</v>
      </c>
      <c r="CK7">
        <f>IF('Discovery-Processing-QC feature'!233:233,"AAAAAH97f1g=",0)</f>
        <v>0</v>
      </c>
      <c r="CL7" t="e">
        <f>AND('Discovery-Processing-QC feature'!A233,"AAAAAH97f1k=")</f>
        <v>#VALUE!</v>
      </c>
      <c r="CM7" t="e">
        <f>AND('Discovery-Processing-QC feature'!B233,"AAAAAH97f1o=")</f>
        <v>#VALUE!</v>
      </c>
      <c r="CN7" t="e">
        <f>AND('Discovery-Processing-QC feature'!C233,"AAAAAH97f1s=")</f>
        <v>#VALUE!</v>
      </c>
      <c r="CO7" t="e">
        <f>AND('Discovery-Processing-QC feature'!D233,"AAAAAH97f1w=")</f>
        <v>#VALUE!</v>
      </c>
      <c r="CP7" t="e">
        <f>AND('Discovery-Processing-QC feature'!E233,"AAAAAH97f10=")</f>
        <v>#VALUE!</v>
      </c>
      <c r="CQ7" t="e">
        <f>AND('Discovery-Processing-QC feature'!F233,"AAAAAH97f14=")</f>
        <v>#VALUE!</v>
      </c>
      <c r="CR7">
        <f>IF('Discovery-Processing-QC feature'!234:234,"AAAAAH97f18=",0)</f>
        <v>0</v>
      </c>
      <c r="CS7" t="e">
        <f>AND('Discovery-Processing-QC feature'!A234,"AAAAAH97f2A=")</f>
        <v>#VALUE!</v>
      </c>
      <c r="CT7" t="e">
        <f>AND('Discovery-Processing-QC feature'!B234,"AAAAAH97f2E=")</f>
        <v>#VALUE!</v>
      </c>
      <c r="CU7" t="e">
        <f>AND('Discovery-Processing-QC feature'!C234,"AAAAAH97f2I=")</f>
        <v>#VALUE!</v>
      </c>
      <c r="CV7" t="e">
        <f>AND('Discovery-Processing-QC feature'!D234,"AAAAAH97f2M=")</f>
        <v>#VALUE!</v>
      </c>
      <c r="CW7" t="e">
        <f>AND('Discovery-Processing-QC feature'!E234,"AAAAAH97f2Q=")</f>
        <v>#VALUE!</v>
      </c>
      <c r="CX7" t="e">
        <f>AND('Discovery-Processing-QC feature'!F234,"AAAAAH97f2U=")</f>
        <v>#VALUE!</v>
      </c>
      <c r="CY7">
        <f>IF('Discovery-Processing-QC feature'!235:235,"AAAAAH97f2Y=",0)</f>
        <v>0</v>
      </c>
      <c r="CZ7" t="e">
        <f>AND('Discovery-Processing-QC feature'!A235,"AAAAAH97f2c=")</f>
        <v>#VALUE!</v>
      </c>
      <c r="DA7" t="e">
        <f>AND('Discovery-Processing-QC feature'!B235,"AAAAAH97f2g=")</f>
        <v>#VALUE!</v>
      </c>
      <c r="DB7" t="e">
        <f>AND('Discovery-Processing-QC feature'!C235,"AAAAAH97f2k=")</f>
        <v>#VALUE!</v>
      </c>
      <c r="DC7" t="e">
        <f>AND('Discovery-Processing-QC feature'!D235,"AAAAAH97f2o=")</f>
        <v>#VALUE!</v>
      </c>
      <c r="DD7" t="e">
        <f>AND('Discovery-Processing-QC feature'!E235,"AAAAAH97f2s=")</f>
        <v>#VALUE!</v>
      </c>
      <c r="DE7" t="e">
        <f>AND('Discovery-Processing-QC feature'!F235,"AAAAAH97f2w=")</f>
        <v>#VALUE!</v>
      </c>
      <c r="DF7">
        <f>IF('Discovery-Processing-QC feature'!236:236,"AAAAAH97f20=",0)</f>
        <v>0</v>
      </c>
      <c r="DG7" t="e">
        <f>AND('Discovery-Processing-QC feature'!A236,"AAAAAH97f24=")</f>
        <v>#VALUE!</v>
      </c>
      <c r="DH7" t="e">
        <f>AND('Discovery-Processing-QC feature'!B236,"AAAAAH97f28=")</f>
        <v>#VALUE!</v>
      </c>
      <c r="DI7" t="e">
        <f>AND('Discovery-Processing-QC feature'!C236,"AAAAAH97f3A=")</f>
        <v>#VALUE!</v>
      </c>
      <c r="DJ7" t="e">
        <f>AND('Discovery-Processing-QC feature'!D236,"AAAAAH97f3E=")</f>
        <v>#VALUE!</v>
      </c>
      <c r="DK7" t="e">
        <f>AND('Discovery-Processing-QC feature'!E236,"AAAAAH97f3I=")</f>
        <v>#VALUE!</v>
      </c>
      <c r="DL7" t="e">
        <f>AND('Discovery-Processing-QC feature'!F236,"AAAAAH97f3M=")</f>
        <v>#VALUE!</v>
      </c>
      <c r="DM7">
        <f>IF('Discovery-Processing-QC feature'!237:237,"AAAAAH97f3Q=",0)</f>
        <v>0</v>
      </c>
      <c r="DN7" t="e">
        <f>AND('Discovery-Processing-QC feature'!A237,"AAAAAH97f3U=")</f>
        <v>#VALUE!</v>
      </c>
      <c r="DO7" t="e">
        <f>AND('Discovery-Processing-QC feature'!B237,"AAAAAH97f3Y=")</f>
        <v>#VALUE!</v>
      </c>
      <c r="DP7" t="e">
        <f>AND('Discovery-Processing-QC feature'!C237,"AAAAAH97f3c=")</f>
        <v>#VALUE!</v>
      </c>
      <c r="DQ7" t="e">
        <f>AND('Discovery-Processing-QC feature'!D237,"AAAAAH97f3g=")</f>
        <v>#VALUE!</v>
      </c>
      <c r="DR7" t="e">
        <f>AND('Discovery-Processing-QC feature'!E237,"AAAAAH97f3k=")</f>
        <v>#VALUE!</v>
      </c>
      <c r="DS7" t="e">
        <f>AND('Discovery-Processing-QC feature'!F237,"AAAAAH97f3o=")</f>
        <v>#VALUE!</v>
      </c>
      <c r="DT7">
        <f>IF('Discovery-Processing-QC feature'!238:238,"AAAAAH97f3s=",0)</f>
        <v>0</v>
      </c>
      <c r="DU7" t="e">
        <f>AND('Discovery-Processing-QC feature'!A238,"AAAAAH97f3w=")</f>
        <v>#VALUE!</v>
      </c>
      <c r="DV7" t="e">
        <f>AND('Discovery-Processing-QC feature'!B238,"AAAAAH97f30=")</f>
        <v>#VALUE!</v>
      </c>
      <c r="DW7" t="e">
        <f>AND('Discovery-Processing-QC feature'!C238,"AAAAAH97f34=")</f>
        <v>#VALUE!</v>
      </c>
      <c r="DX7" t="e">
        <f>AND('Discovery-Processing-QC feature'!D238,"AAAAAH97f38=")</f>
        <v>#VALUE!</v>
      </c>
      <c r="DY7" t="e">
        <f>AND('Discovery-Processing-QC feature'!E238,"AAAAAH97f4A=")</f>
        <v>#VALUE!</v>
      </c>
      <c r="DZ7" t="e">
        <f>AND('Discovery-Processing-QC feature'!F238,"AAAAAH97f4E=")</f>
        <v>#VALUE!</v>
      </c>
      <c r="EA7">
        <f>IF('Discovery-Processing-QC feature'!239:239,"AAAAAH97f4I=",0)</f>
        <v>0</v>
      </c>
      <c r="EB7" t="e">
        <f>AND('Discovery-Processing-QC feature'!A239,"AAAAAH97f4M=")</f>
        <v>#VALUE!</v>
      </c>
      <c r="EC7" t="e">
        <f>AND('Discovery-Processing-QC feature'!B239,"AAAAAH97f4Q=")</f>
        <v>#VALUE!</v>
      </c>
      <c r="ED7" t="e">
        <f>AND('Discovery-Processing-QC feature'!C239,"AAAAAH97f4U=")</f>
        <v>#VALUE!</v>
      </c>
      <c r="EE7" t="e">
        <f>AND('Discovery-Processing-QC feature'!D239,"AAAAAH97f4Y=")</f>
        <v>#VALUE!</v>
      </c>
      <c r="EF7" t="e">
        <f>AND('Discovery-Processing-QC feature'!E239,"AAAAAH97f4c=")</f>
        <v>#VALUE!</v>
      </c>
      <c r="EG7" t="e">
        <f>AND('Discovery-Processing-QC feature'!F239,"AAAAAH97f4g=")</f>
        <v>#VALUE!</v>
      </c>
      <c r="EH7">
        <f>IF('Discovery-Processing-QC feature'!240:240,"AAAAAH97f4k=",0)</f>
        <v>0</v>
      </c>
      <c r="EI7" t="e">
        <f>AND('Discovery-Processing-QC feature'!A240,"AAAAAH97f4o=")</f>
        <v>#VALUE!</v>
      </c>
      <c r="EJ7" t="e">
        <f>AND('Discovery-Processing-QC feature'!B240,"AAAAAH97f4s=")</f>
        <v>#VALUE!</v>
      </c>
      <c r="EK7" t="e">
        <f>AND('Discovery-Processing-QC feature'!C240,"AAAAAH97f4w=")</f>
        <v>#VALUE!</v>
      </c>
      <c r="EL7" t="e">
        <f>AND('Discovery-Processing-QC feature'!D240,"AAAAAH97f40=")</f>
        <v>#VALUE!</v>
      </c>
      <c r="EM7" t="e">
        <f>AND('Discovery-Processing-QC feature'!E240,"AAAAAH97f44=")</f>
        <v>#VALUE!</v>
      </c>
      <c r="EN7" t="e">
        <f>AND('Discovery-Processing-QC feature'!F240,"AAAAAH97f48=")</f>
        <v>#VALUE!</v>
      </c>
      <c r="EO7">
        <f>IF('Discovery-Processing-QC feature'!241:241,"AAAAAH97f5A=",0)</f>
        <v>0</v>
      </c>
      <c r="EP7" t="e">
        <f>AND('Discovery-Processing-QC feature'!A241,"AAAAAH97f5E=")</f>
        <v>#VALUE!</v>
      </c>
      <c r="EQ7" t="e">
        <f>AND('Discovery-Processing-QC feature'!B241,"AAAAAH97f5I=")</f>
        <v>#VALUE!</v>
      </c>
      <c r="ER7" t="e">
        <f>AND('Discovery-Processing-QC feature'!C241,"AAAAAH97f5M=")</f>
        <v>#VALUE!</v>
      </c>
      <c r="ES7" t="e">
        <f>AND('Discovery-Processing-QC feature'!D241,"AAAAAH97f5Q=")</f>
        <v>#VALUE!</v>
      </c>
      <c r="ET7" t="e">
        <f>AND('Discovery-Processing-QC feature'!E241,"AAAAAH97f5U=")</f>
        <v>#VALUE!</v>
      </c>
      <c r="EU7" t="e">
        <f>AND('Discovery-Processing-QC feature'!F241,"AAAAAH97f5Y=")</f>
        <v>#VALUE!</v>
      </c>
      <c r="EV7">
        <f>IF('Discovery-Processing-QC feature'!242:242,"AAAAAH97f5c=",0)</f>
        <v>0</v>
      </c>
      <c r="EW7" t="e">
        <f>AND('Discovery-Processing-QC feature'!A242,"AAAAAH97f5g=")</f>
        <v>#VALUE!</v>
      </c>
      <c r="EX7" t="e">
        <f>AND('Discovery-Processing-QC feature'!B242,"AAAAAH97f5k=")</f>
        <v>#VALUE!</v>
      </c>
      <c r="EY7" t="e">
        <f>AND('Discovery-Processing-QC feature'!C242,"AAAAAH97f5o=")</f>
        <v>#VALUE!</v>
      </c>
      <c r="EZ7" t="e">
        <f>AND('Discovery-Processing-QC feature'!D242,"AAAAAH97f5s=")</f>
        <v>#VALUE!</v>
      </c>
      <c r="FA7" t="e">
        <f>AND('Discovery-Processing-QC feature'!E242,"AAAAAH97f5w=")</f>
        <v>#VALUE!</v>
      </c>
      <c r="FB7" t="e">
        <f>AND('Discovery-Processing-QC feature'!F242,"AAAAAH97f50=")</f>
        <v>#VALUE!</v>
      </c>
      <c r="FC7">
        <f>IF('Discovery-Processing-QC feature'!243:243,"AAAAAH97f54=",0)</f>
        <v>0</v>
      </c>
      <c r="FD7" t="e">
        <f>AND('Discovery-Processing-QC feature'!A243,"AAAAAH97f58=")</f>
        <v>#VALUE!</v>
      </c>
      <c r="FE7" t="e">
        <f>AND('Discovery-Processing-QC feature'!B243,"AAAAAH97f6A=")</f>
        <v>#VALUE!</v>
      </c>
      <c r="FF7" t="e">
        <f>AND('Discovery-Processing-QC feature'!C243,"AAAAAH97f6E=")</f>
        <v>#VALUE!</v>
      </c>
      <c r="FG7" t="e">
        <f>AND('Discovery-Processing-QC feature'!D243,"AAAAAH97f6I=")</f>
        <v>#VALUE!</v>
      </c>
      <c r="FH7" t="e">
        <f>AND('Discovery-Processing-QC feature'!E243,"AAAAAH97f6M=")</f>
        <v>#VALUE!</v>
      </c>
      <c r="FI7" t="e">
        <f>AND('Discovery-Processing-QC feature'!F243,"AAAAAH97f6Q=")</f>
        <v>#VALUE!</v>
      </c>
      <c r="FJ7">
        <f>IF('Discovery-Processing-QC feature'!244:244,"AAAAAH97f6U=",0)</f>
        <v>0</v>
      </c>
      <c r="FK7" t="e">
        <f>AND('Discovery-Processing-QC feature'!A244,"AAAAAH97f6Y=")</f>
        <v>#VALUE!</v>
      </c>
      <c r="FL7" t="e">
        <f>AND('Discovery-Processing-QC feature'!B244,"AAAAAH97f6c=")</f>
        <v>#VALUE!</v>
      </c>
      <c r="FM7" t="e">
        <f>AND('Discovery-Processing-QC feature'!C244,"AAAAAH97f6g=")</f>
        <v>#VALUE!</v>
      </c>
      <c r="FN7" t="e">
        <f>AND('Discovery-Processing-QC feature'!D244,"AAAAAH97f6k=")</f>
        <v>#VALUE!</v>
      </c>
      <c r="FO7" t="e">
        <f>AND('Discovery-Processing-QC feature'!E244,"AAAAAH97f6o=")</f>
        <v>#VALUE!</v>
      </c>
      <c r="FP7" t="e">
        <f>AND('Discovery-Processing-QC feature'!F244,"AAAAAH97f6s=")</f>
        <v>#VALUE!</v>
      </c>
      <c r="FQ7">
        <f>IF('Discovery-Processing-QC feature'!245:245,"AAAAAH97f6w=",0)</f>
        <v>0</v>
      </c>
      <c r="FR7" t="e">
        <f>AND('Discovery-Processing-QC feature'!A245,"AAAAAH97f60=")</f>
        <v>#VALUE!</v>
      </c>
      <c r="FS7" t="e">
        <f>AND('Discovery-Processing-QC feature'!B245,"AAAAAH97f64=")</f>
        <v>#VALUE!</v>
      </c>
      <c r="FT7" t="e">
        <f>AND('Discovery-Processing-QC feature'!C245,"AAAAAH97f68=")</f>
        <v>#VALUE!</v>
      </c>
      <c r="FU7" t="e">
        <f>AND('Discovery-Processing-QC feature'!D245,"AAAAAH97f7A=")</f>
        <v>#VALUE!</v>
      </c>
      <c r="FV7" t="e">
        <f>AND('Discovery-Processing-QC feature'!E245,"AAAAAH97f7E=")</f>
        <v>#VALUE!</v>
      </c>
      <c r="FW7" t="e">
        <f>AND('Discovery-Processing-QC feature'!F245,"AAAAAH97f7I=")</f>
        <v>#VALUE!</v>
      </c>
      <c r="FX7">
        <f>IF('Discovery-Processing-QC feature'!246:246,"AAAAAH97f7M=",0)</f>
        <v>0</v>
      </c>
      <c r="FY7" t="e">
        <f>AND('Discovery-Processing-QC feature'!A246,"AAAAAH97f7Q=")</f>
        <v>#VALUE!</v>
      </c>
      <c r="FZ7" t="e">
        <f>AND('Discovery-Processing-QC feature'!B246,"AAAAAH97f7U=")</f>
        <v>#VALUE!</v>
      </c>
      <c r="GA7" t="e">
        <f>AND('Discovery-Processing-QC feature'!C246,"AAAAAH97f7Y=")</f>
        <v>#VALUE!</v>
      </c>
      <c r="GB7" t="e">
        <f>AND('Discovery-Processing-QC feature'!D246,"AAAAAH97f7c=")</f>
        <v>#VALUE!</v>
      </c>
      <c r="GC7" t="e">
        <f>AND('Discovery-Processing-QC feature'!E246,"AAAAAH97f7g=")</f>
        <v>#VALUE!</v>
      </c>
      <c r="GD7" t="e">
        <f>AND('Discovery-Processing-QC feature'!F246,"AAAAAH97f7k=")</f>
        <v>#VALUE!</v>
      </c>
      <c r="GE7">
        <f>IF('Discovery-Processing-QC feature'!247:247,"AAAAAH97f7o=",0)</f>
        <v>0</v>
      </c>
      <c r="GF7" t="e">
        <f>AND('Discovery-Processing-QC feature'!A247,"AAAAAH97f7s=")</f>
        <v>#VALUE!</v>
      </c>
      <c r="GG7" t="e">
        <f>AND('Discovery-Processing-QC feature'!B247,"AAAAAH97f7w=")</f>
        <v>#VALUE!</v>
      </c>
      <c r="GH7" t="e">
        <f>AND('Discovery-Processing-QC feature'!C247,"AAAAAH97f70=")</f>
        <v>#VALUE!</v>
      </c>
      <c r="GI7" t="e">
        <f>AND('Discovery-Processing-QC feature'!D247,"AAAAAH97f74=")</f>
        <v>#VALUE!</v>
      </c>
      <c r="GJ7" t="e">
        <f>AND('Discovery-Processing-QC feature'!E247,"AAAAAH97f78=")</f>
        <v>#VALUE!</v>
      </c>
      <c r="GK7" t="e">
        <f>AND('Discovery-Processing-QC feature'!F247,"AAAAAH97f8A=")</f>
        <v>#VALUE!</v>
      </c>
      <c r="GL7">
        <f>IF('Discovery-Processing-QC feature'!248:248,"AAAAAH97f8E=",0)</f>
        <v>0</v>
      </c>
      <c r="GM7" t="e">
        <f>AND('Discovery-Processing-QC feature'!A248,"AAAAAH97f8I=")</f>
        <v>#VALUE!</v>
      </c>
      <c r="GN7" t="e">
        <f>AND('Discovery-Processing-QC feature'!B248,"AAAAAH97f8M=")</f>
        <v>#VALUE!</v>
      </c>
      <c r="GO7" t="e">
        <f>AND('Discovery-Processing-QC feature'!C248,"AAAAAH97f8Q=")</f>
        <v>#VALUE!</v>
      </c>
      <c r="GP7" t="e">
        <f>AND('Discovery-Processing-QC feature'!D248,"AAAAAH97f8U=")</f>
        <v>#VALUE!</v>
      </c>
      <c r="GQ7" t="e">
        <f>AND('Discovery-Processing-QC feature'!E248,"AAAAAH97f8Y=")</f>
        <v>#VALUE!</v>
      </c>
      <c r="GR7" t="e">
        <f>AND('Discovery-Processing-QC feature'!F248,"AAAAAH97f8c=")</f>
        <v>#VALUE!</v>
      </c>
      <c r="GS7">
        <f>IF('Discovery-Processing-QC feature'!249:249,"AAAAAH97f8g=",0)</f>
        <v>0</v>
      </c>
      <c r="GT7" t="e">
        <f>AND('Discovery-Processing-QC feature'!A249,"AAAAAH97f8k=")</f>
        <v>#VALUE!</v>
      </c>
      <c r="GU7" t="e">
        <f>AND('Discovery-Processing-QC feature'!B249,"AAAAAH97f8o=")</f>
        <v>#VALUE!</v>
      </c>
      <c r="GV7" t="e">
        <f>AND('Discovery-Processing-QC feature'!C249,"AAAAAH97f8s=")</f>
        <v>#VALUE!</v>
      </c>
      <c r="GW7" t="e">
        <f>AND('Discovery-Processing-QC feature'!D249,"AAAAAH97f8w=")</f>
        <v>#VALUE!</v>
      </c>
      <c r="GX7" t="e">
        <f>AND('Discovery-Processing-QC feature'!E249,"AAAAAH97f80=")</f>
        <v>#VALUE!</v>
      </c>
      <c r="GY7" t="e">
        <f>AND('Discovery-Processing-QC feature'!F249,"AAAAAH97f84=")</f>
        <v>#VALUE!</v>
      </c>
      <c r="GZ7">
        <f>IF('Discovery-Processing-QC feature'!250:250,"AAAAAH97f88=",0)</f>
        <v>0</v>
      </c>
      <c r="HA7" t="e">
        <f>AND('Discovery-Processing-QC feature'!A250,"AAAAAH97f9A=")</f>
        <v>#VALUE!</v>
      </c>
      <c r="HB7" t="e">
        <f>AND('Discovery-Processing-QC feature'!B250,"AAAAAH97f9E=")</f>
        <v>#VALUE!</v>
      </c>
      <c r="HC7" t="e">
        <f>AND('Discovery-Processing-QC feature'!C250,"AAAAAH97f9I=")</f>
        <v>#VALUE!</v>
      </c>
      <c r="HD7" t="e">
        <f>AND('Discovery-Processing-QC feature'!D250,"AAAAAH97f9M=")</f>
        <v>#VALUE!</v>
      </c>
      <c r="HE7" t="e">
        <f>AND('Discovery-Processing-QC feature'!E250,"AAAAAH97f9Q=")</f>
        <v>#VALUE!</v>
      </c>
      <c r="HF7" t="e">
        <f>AND('Discovery-Processing-QC feature'!F250,"AAAAAH97f9U=")</f>
        <v>#VALUE!</v>
      </c>
      <c r="HG7">
        <f>IF('Discovery-Processing-QC feature'!251:251,"AAAAAH97f9Y=",0)</f>
        <v>0</v>
      </c>
      <c r="HH7" t="e">
        <f>AND('Discovery-Processing-QC feature'!A251,"AAAAAH97f9c=")</f>
        <v>#VALUE!</v>
      </c>
      <c r="HI7" t="e">
        <f>AND('Discovery-Processing-QC feature'!B251,"AAAAAH97f9g=")</f>
        <v>#VALUE!</v>
      </c>
      <c r="HJ7" t="e">
        <f>AND('Discovery-Processing-QC feature'!C251,"AAAAAH97f9k=")</f>
        <v>#VALUE!</v>
      </c>
      <c r="HK7" t="e">
        <f>AND('Discovery-Processing-QC feature'!D251,"AAAAAH97f9o=")</f>
        <v>#VALUE!</v>
      </c>
      <c r="HL7" t="e">
        <f>AND('Discovery-Processing-QC feature'!E251,"AAAAAH97f9s=")</f>
        <v>#VALUE!</v>
      </c>
      <c r="HM7" t="e">
        <f>AND('Discovery-Processing-QC feature'!F251,"AAAAAH97f9w=")</f>
        <v>#VALUE!</v>
      </c>
      <c r="HN7">
        <f>IF('Discovery-Processing-QC feature'!252:252,"AAAAAH97f90=",0)</f>
        <v>0</v>
      </c>
      <c r="HO7" t="e">
        <f>AND('Discovery-Processing-QC feature'!A252,"AAAAAH97f94=")</f>
        <v>#VALUE!</v>
      </c>
      <c r="HP7" t="e">
        <f>AND('Discovery-Processing-QC feature'!B252,"AAAAAH97f98=")</f>
        <v>#VALUE!</v>
      </c>
      <c r="HQ7" t="e">
        <f>AND('Discovery-Processing-QC feature'!C252,"AAAAAH97f+A=")</f>
        <v>#VALUE!</v>
      </c>
      <c r="HR7" t="e">
        <f>AND('Discovery-Processing-QC feature'!D252,"AAAAAH97f+E=")</f>
        <v>#VALUE!</v>
      </c>
      <c r="HS7" t="e">
        <f>AND('Discovery-Processing-QC feature'!E252,"AAAAAH97f+I=")</f>
        <v>#VALUE!</v>
      </c>
      <c r="HT7" t="e">
        <f>AND('Discovery-Processing-QC feature'!F252,"AAAAAH97f+M=")</f>
        <v>#VALUE!</v>
      </c>
      <c r="HU7">
        <f>IF('Discovery-Processing-QC feature'!253:253,"AAAAAH97f+Q=",0)</f>
        <v>0</v>
      </c>
      <c r="HV7" t="e">
        <f>AND('Discovery-Processing-QC feature'!A253,"AAAAAH97f+U=")</f>
        <v>#VALUE!</v>
      </c>
      <c r="HW7" t="e">
        <f>AND('Discovery-Processing-QC feature'!B253,"AAAAAH97f+Y=")</f>
        <v>#VALUE!</v>
      </c>
      <c r="HX7" t="e">
        <f>AND('Discovery-Processing-QC feature'!C253,"AAAAAH97f+c=")</f>
        <v>#VALUE!</v>
      </c>
      <c r="HY7" t="e">
        <f>AND('Discovery-Processing-QC feature'!D253,"AAAAAH97f+g=")</f>
        <v>#VALUE!</v>
      </c>
      <c r="HZ7" t="e">
        <f>AND('Discovery-Processing-QC feature'!E253,"AAAAAH97f+k=")</f>
        <v>#VALUE!</v>
      </c>
      <c r="IA7" t="e">
        <f>AND('Discovery-Processing-QC feature'!F253,"AAAAAH97f+o=")</f>
        <v>#VALUE!</v>
      </c>
      <c r="IB7">
        <f>IF('Discovery-Processing-QC feature'!254:254,"AAAAAH97f+s=",0)</f>
        <v>0</v>
      </c>
      <c r="IC7" t="e">
        <f>AND('Discovery-Processing-QC feature'!A254,"AAAAAH97f+w=")</f>
        <v>#VALUE!</v>
      </c>
      <c r="ID7" t="e">
        <f>AND('Discovery-Processing-QC feature'!B254,"AAAAAH97f+0=")</f>
        <v>#VALUE!</v>
      </c>
      <c r="IE7" t="e">
        <f>AND('Discovery-Processing-QC feature'!C254,"AAAAAH97f+4=")</f>
        <v>#VALUE!</v>
      </c>
      <c r="IF7" t="e">
        <f>AND('Discovery-Processing-QC feature'!D254,"AAAAAH97f+8=")</f>
        <v>#VALUE!</v>
      </c>
      <c r="IG7" t="e">
        <f>AND('Discovery-Processing-QC feature'!E254,"AAAAAH97f/A=")</f>
        <v>#VALUE!</v>
      </c>
      <c r="IH7" t="e">
        <f>AND('Discovery-Processing-QC feature'!F254,"AAAAAH97f/E=")</f>
        <v>#VALUE!</v>
      </c>
      <c r="II7">
        <f>IF('Discovery-Processing-QC feature'!255:255,"AAAAAH97f/I=",0)</f>
        <v>0</v>
      </c>
      <c r="IJ7" t="e">
        <f>AND('Discovery-Processing-QC feature'!A255,"AAAAAH97f/M=")</f>
        <v>#VALUE!</v>
      </c>
      <c r="IK7" t="e">
        <f>AND('Discovery-Processing-QC feature'!B255,"AAAAAH97f/Q=")</f>
        <v>#VALUE!</v>
      </c>
      <c r="IL7" t="e">
        <f>AND('Discovery-Processing-QC feature'!C255,"AAAAAH97f/U=")</f>
        <v>#VALUE!</v>
      </c>
      <c r="IM7" t="e">
        <f>AND('Discovery-Processing-QC feature'!D255,"AAAAAH97f/Y=")</f>
        <v>#VALUE!</v>
      </c>
      <c r="IN7" t="e">
        <f>AND('Discovery-Processing-QC feature'!E255,"AAAAAH97f/c=")</f>
        <v>#VALUE!</v>
      </c>
      <c r="IO7" t="e">
        <f>AND('Discovery-Processing-QC feature'!F255,"AAAAAH97f/g=")</f>
        <v>#VALUE!</v>
      </c>
      <c r="IP7">
        <f>IF('Discovery-Processing-QC feature'!256:256,"AAAAAH97f/k=",0)</f>
        <v>0</v>
      </c>
      <c r="IQ7" t="e">
        <f>AND('Discovery-Processing-QC feature'!A256,"AAAAAH97f/o=")</f>
        <v>#VALUE!</v>
      </c>
      <c r="IR7" t="e">
        <f>AND('Discovery-Processing-QC feature'!B256,"AAAAAH97f/s=")</f>
        <v>#VALUE!</v>
      </c>
      <c r="IS7" t="e">
        <f>AND('Discovery-Processing-QC feature'!C256,"AAAAAH97f/w=")</f>
        <v>#VALUE!</v>
      </c>
      <c r="IT7" t="e">
        <f>AND('Discovery-Processing-QC feature'!D256,"AAAAAH97f/0=")</f>
        <v>#VALUE!</v>
      </c>
      <c r="IU7" t="e">
        <f>AND('Discovery-Processing-QC feature'!E256,"AAAAAH97f/4=")</f>
        <v>#VALUE!</v>
      </c>
      <c r="IV7" t="e">
        <f>AND('Discovery-Processing-QC feature'!F256,"AAAAAH97f/8=")</f>
        <v>#VALUE!</v>
      </c>
    </row>
    <row r="8" spans="1:256" x14ac:dyDescent="0.2">
      <c r="A8" t="e">
        <f>IF('Discovery-Processing-QC feature'!257:257,"AAAAAE/zHwA=",0)</f>
        <v>#VALUE!</v>
      </c>
      <c r="B8" t="e">
        <f>AND('Discovery-Processing-QC feature'!A257,"AAAAAE/zHwE=")</f>
        <v>#VALUE!</v>
      </c>
      <c r="C8" t="e">
        <f>AND('Discovery-Processing-QC feature'!B257,"AAAAAE/zHwI=")</f>
        <v>#VALUE!</v>
      </c>
      <c r="D8" t="e">
        <f>AND('Discovery-Processing-QC feature'!C257,"AAAAAE/zHwM=")</f>
        <v>#VALUE!</v>
      </c>
      <c r="E8" t="e">
        <f>AND('Discovery-Processing-QC feature'!D257,"AAAAAE/zHwQ=")</f>
        <v>#VALUE!</v>
      </c>
      <c r="F8" t="e">
        <f>AND('Discovery-Processing-QC feature'!E257,"AAAAAE/zHwU=")</f>
        <v>#VALUE!</v>
      </c>
      <c r="G8" t="e">
        <f>AND('Discovery-Processing-QC feature'!F257,"AAAAAE/zHwY=")</f>
        <v>#VALUE!</v>
      </c>
      <c r="H8">
        <f>IF('Discovery-Processing-QC feature'!258:258,"AAAAAE/zHwc=",0)</f>
        <v>0</v>
      </c>
      <c r="I8" t="e">
        <f>AND('Discovery-Processing-QC feature'!A258,"AAAAAE/zHwg=")</f>
        <v>#VALUE!</v>
      </c>
      <c r="J8" t="e">
        <f>AND('Discovery-Processing-QC feature'!B258,"AAAAAE/zHwk=")</f>
        <v>#VALUE!</v>
      </c>
      <c r="K8" t="e">
        <f>AND('Discovery-Processing-QC feature'!C258,"AAAAAE/zHwo=")</f>
        <v>#VALUE!</v>
      </c>
      <c r="L8" t="e">
        <f>AND('Discovery-Processing-QC feature'!D258,"AAAAAE/zHws=")</f>
        <v>#VALUE!</v>
      </c>
      <c r="M8" t="e">
        <f>AND('Discovery-Processing-QC feature'!E258,"AAAAAE/zHww=")</f>
        <v>#VALUE!</v>
      </c>
      <c r="N8" t="e">
        <f>AND('Discovery-Processing-QC feature'!F258,"AAAAAE/zHw0=")</f>
        <v>#VALUE!</v>
      </c>
      <c r="O8">
        <f>IF('Discovery-Processing-QC feature'!259:259,"AAAAAE/zHw4=",0)</f>
        <v>0</v>
      </c>
      <c r="P8" t="e">
        <f>AND('Discovery-Processing-QC feature'!A259,"AAAAAE/zHw8=")</f>
        <v>#VALUE!</v>
      </c>
      <c r="Q8" t="e">
        <f>AND('Discovery-Processing-QC feature'!B259,"AAAAAE/zHxA=")</f>
        <v>#VALUE!</v>
      </c>
      <c r="R8" t="e">
        <f>AND('Discovery-Processing-QC feature'!C259,"AAAAAE/zHxE=")</f>
        <v>#VALUE!</v>
      </c>
      <c r="S8" t="e">
        <f>AND('Discovery-Processing-QC feature'!D259,"AAAAAE/zHxI=")</f>
        <v>#VALUE!</v>
      </c>
      <c r="T8" t="e">
        <f>AND('Discovery-Processing-QC feature'!E259,"AAAAAE/zHxM=")</f>
        <v>#VALUE!</v>
      </c>
      <c r="U8" t="e">
        <f>AND('Discovery-Processing-QC feature'!F259,"AAAAAE/zHxQ=")</f>
        <v>#VALUE!</v>
      </c>
      <c r="V8">
        <f>IF('Discovery-Processing-QC feature'!260:260,"AAAAAE/zHxU=",0)</f>
        <v>0</v>
      </c>
      <c r="W8" t="e">
        <f>AND('Discovery-Processing-QC feature'!A260,"AAAAAE/zHxY=")</f>
        <v>#VALUE!</v>
      </c>
      <c r="X8" t="e">
        <f>AND('Discovery-Processing-QC feature'!B260,"AAAAAE/zHxc=")</f>
        <v>#VALUE!</v>
      </c>
      <c r="Y8" t="e">
        <f>AND('Discovery-Processing-QC feature'!C260,"AAAAAE/zHxg=")</f>
        <v>#VALUE!</v>
      </c>
      <c r="Z8" t="e">
        <f>AND('Discovery-Processing-QC feature'!D260,"AAAAAE/zHxk=")</f>
        <v>#VALUE!</v>
      </c>
      <c r="AA8" t="e">
        <f>AND('Discovery-Processing-QC feature'!E260,"AAAAAE/zHxo=")</f>
        <v>#VALUE!</v>
      </c>
      <c r="AB8" t="e">
        <f>AND('Discovery-Processing-QC feature'!F260,"AAAAAE/zHxs=")</f>
        <v>#VALUE!</v>
      </c>
      <c r="AC8">
        <f>IF('Discovery-Processing-QC feature'!261:261,"AAAAAE/zHxw=",0)</f>
        <v>0</v>
      </c>
      <c r="AD8" t="e">
        <f>AND('Discovery-Processing-QC feature'!A261,"AAAAAE/zHx0=")</f>
        <v>#VALUE!</v>
      </c>
      <c r="AE8" t="e">
        <f>AND('Discovery-Processing-QC feature'!B261,"AAAAAE/zHx4=")</f>
        <v>#VALUE!</v>
      </c>
      <c r="AF8" t="e">
        <f>AND('Discovery-Processing-QC feature'!C261,"AAAAAE/zHx8=")</f>
        <v>#VALUE!</v>
      </c>
      <c r="AG8" t="e">
        <f>AND('Discovery-Processing-QC feature'!D261,"AAAAAE/zHyA=")</f>
        <v>#VALUE!</v>
      </c>
      <c r="AH8" t="e">
        <f>AND('Discovery-Processing-QC feature'!E261,"AAAAAE/zHyE=")</f>
        <v>#VALUE!</v>
      </c>
      <c r="AI8" t="e">
        <f>AND('Discovery-Processing-QC feature'!F261,"AAAAAE/zHyI=")</f>
        <v>#VALUE!</v>
      </c>
      <c r="AJ8">
        <f>IF('Discovery-Processing-QC feature'!262:262,"AAAAAE/zHyM=",0)</f>
        <v>0</v>
      </c>
      <c r="AK8" t="e">
        <f>AND('Discovery-Processing-QC feature'!A262,"AAAAAE/zHyQ=")</f>
        <v>#VALUE!</v>
      </c>
      <c r="AL8" t="e">
        <f>AND('Discovery-Processing-QC feature'!B262,"AAAAAE/zHyU=")</f>
        <v>#VALUE!</v>
      </c>
      <c r="AM8" t="e">
        <f>AND('Discovery-Processing-QC feature'!C262,"AAAAAE/zHyY=")</f>
        <v>#VALUE!</v>
      </c>
      <c r="AN8" t="e">
        <f>AND('Discovery-Processing-QC feature'!D262,"AAAAAE/zHyc=")</f>
        <v>#VALUE!</v>
      </c>
      <c r="AO8" t="e">
        <f>AND('Discovery-Processing-QC feature'!E262,"AAAAAE/zHyg=")</f>
        <v>#VALUE!</v>
      </c>
      <c r="AP8" t="e">
        <f>AND('Discovery-Processing-QC feature'!F262,"AAAAAE/zHyk=")</f>
        <v>#VALUE!</v>
      </c>
      <c r="AQ8">
        <f>IF('Discovery-Processing-QC feature'!263:263,"AAAAAE/zHyo=",0)</f>
        <v>0</v>
      </c>
      <c r="AR8" t="e">
        <f>AND('Discovery-Processing-QC feature'!A263,"AAAAAE/zHys=")</f>
        <v>#VALUE!</v>
      </c>
      <c r="AS8" t="e">
        <f>AND('Discovery-Processing-QC feature'!B263,"AAAAAE/zHyw=")</f>
        <v>#VALUE!</v>
      </c>
      <c r="AT8" t="e">
        <f>AND('Discovery-Processing-QC feature'!C263,"AAAAAE/zHy0=")</f>
        <v>#VALUE!</v>
      </c>
      <c r="AU8" t="e">
        <f>AND('Discovery-Processing-QC feature'!D263,"AAAAAE/zHy4=")</f>
        <v>#VALUE!</v>
      </c>
      <c r="AV8" t="e">
        <f>AND('Discovery-Processing-QC feature'!E263,"AAAAAE/zHy8=")</f>
        <v>#VALUE!</v>
      </c>
      <c r="AW8" t="e">
        <f>AND('Discovery-Processing-QC feature'!F263,"AAAAAE/zHzA=")</f>
        <v>#VALUE!</v>
      </c>
      <c r="AX8">
        <f>IF('Discovery-Processing-QC feature'!264:264,"AAAAAE/zHzE=",0)</f>
        <v>0</v>
      </c>
      <c r="AY8" t="e">
        <f>AND('Discovery-Processing-QC feature'!A264,"AAAAAE/zHzI=")</f>
        <v>#VALUE!</v>
      </c>
      <c r="AZ8" t="e">
        <f>AND('Discovery-Processing-QC feature'!B264,"AAAAAE/zHzM=")</f>
        <v>#VALUE!</v>
      </c>
      <c r="BA8" t="e">
        <f>AND('Discovery-Processing-QC feature'!C264,"AAAAAE/zHzQ=")</f>
        <v>#VALUE!</v>
      </c>
      <c r="BB8" t="e">
        <f>AND('Discovery-Processing-QC feature'!D264,"AAAAAE/zHzU=")</f>
        <v>#VALUE!</v>
      </c>
      <c r="BC8" t="e">
        <f>AND('Discovery-Processing-QC feature'!E264,"AAAAAE/zHzY=")</f>
        <v>#VALUE!</v>
      </c>
      <c r="BD8" t="e">
        <f>AND('Discovery-Processing-QC feature'!F264,"AAAAAE/zHzc=")</f>
        <v>#VALUE!</v>
      </c>
      <c r="BE8">
        <f>IF('Discovery-Processing-QC feature'!265:265,"AAAAAE/zHzg=",0)</f>
        <v>0</v>
      </c>
      <c r="BF8" t="e">
        <f>AND('Discovery-Processing-QC feature'!A265,"AAAAAE/zHzk=")</f>
        <v>#VALUE!</v>
      </c>
      <c r="BG8" t="e">
        <f>AND('Discovery-Processing-QC feature'!B265,"AAAAAE/zHzo=")</f>
        <v>#VALUE!</v>
      </c>
      <c r="BH8" t="e">
        <f>AND('Discovery-Processing-QC feature'!C265,"AAAAAE/zHzs=")</f>
        <v>#VALUE!</v>
      </c>
      <c r="BI8" t="e">
        <f>AND('Discovery-Processing-QC feature'!D265,"AAAAAE/zHzw=")</f>
        <v>#VALUE!</v>
      </c>
      <c r="BJ8" t="e">
        <f>AND('Discovery-Processing-QC feature'!E265,"AAAAAE/zHz0=")</f>
        <v>#VALUE!</v>
      </c>
      <c r="BK8" t="e">
        <f>AND('Discovery-Processing-QC feature'!F265,"AAAAAE/zHz4=")</f>
        <v>#VALUE!</v>
      </c>
      <c r="BL8">
        <f>IF('Discovery-Processing-QC feature'!266:266,"AAAAAE/zHz8=",0)</f>
        <v>0</v>
      </c>
      <c r="BM8" t="e">
        <f>AND('Discovery-Processing-QC feature'!A266,"AAAAAE/zH0A=")</f>
        <v>#VALUE!</v>
      </c>
      <c r="BN8" t="e">
        <f>AND('Discovery-Processing-QC feature'!B266,"AAAAAE/zH0E=")</f>
        <v>#VALUE!</v>
      </c>
      <c r="BO8" t="e">
        <f>AND('Discovery-Processing-QC feature'!C266,"AAAAAE/zH0I=")</f>
        <v>#VALUE!</v>
      </c>
      <c r="BP8" t="e">
        <f>AND('Discovery-Processing-QC feature'!D266,"AAAAAE/zH0M=")</f>
        <v>#VALUE!</v>
      </c>
      <c r="BQ8" t="e">
        <f>AND('Discovery-Processing-QC feature'!E266,"AAAAAE/zH0Q=")</f>
        <v>#VALUE!</v>
      </c>
      <c r="BR8" t="e">
        <f>AND('Discovery-Processing-QC feature'!F266,"AAAAAE/zH0U=")</f>
        <v>#VALUE!</v>
      </c>
      <c r="BS8">
        <f>IF('Discovery-Processing-QC feature'!267:267,"AAAAAE/zH0Y=",0)</f>
        <v>0</v>
      </c>
      <c r="BT8" t="e">
        <f>AND('Discovery-Processing-QC feature'!A267,"AAAAAE/zH0c=")</f>
        <v>#VALUE!</v>
      </c>
      <c r="BU8" t="e">
        <f>AND('Discovery-Processing-QC feature'!B267,"AAAAAE/zH0g=")</f>
        <v>#VALUE!</v>
      </c>
      <c r="BV8" t="e">
        <f>AND('Discovery-Processing-QC feature'!C267,"AAAAAE/zH0k=")</f>
        <v>#VALUE!</v>
      </c>
      <c r="BW8" t="e">
        <f>AND('Discovery-Processing-QC feature'!D267,"AAAAAE/zH0o=")</f>
        <v>#VALUE!</v>
      </c>
      <c r="BX8" t="e">
        <f>AND('Discovery-Processing-QC feature'!E267,"AAAAAE/zH0s=")</f>
        <v>#VALUE!</v>
      </c>
      <c r="BY8" t="e">
        <f>AND('Discovery-Processing-QC feature'!F267,"AAAAAE/zH0w=")</f>
        <v>#VALUE!</v>
      </c>
      <c r="BZ8">
        <f>IF('Discovery-Processing-QC feature'!268:268,"AAAAAE/zH00=",0)</f>
        <v>0</v>
      </c>
      <c r="CA8" t="e">
        <f>AND('Discovery-Processing-QC feature'!A268,"AAAAAE/zH04=")</f>
        <v>#VALUE!</v>
      </c>
      <c r="CB8" t="e">
        <f>AND('Discovery-Processing-QC feature'!B268,"AAAAAE/zH08=")</f>
        <v>#VALUE!</v>
      </c>
      <c r="CC8" t="e">
        <f>AND('Discovery-Processing-QC feature'!C268,"AAAAAE/zH1A=")</f>
        <v>#VALUE!</v>
      </c>
      <c r="CD8" t="e">
        <f>AND('Discovery-Processing-QC feature'!D268,"AAAAAE/zH1E=")</f>
        <v>#VALUE!</v>
      </c>
      <c r="CE8" t="e">
        <f>AND('Discovery-Processing-QC feature'!E268,"AAAAAE/zH1I=")</f>
        <v>#VALUE!</v>
      </c>
      <c r="CF8" t="e">
        <f>AND('Discovery-Processing-QC feature'!F268,"AAAAAE/zH1M=")</f>
        <v>#VALUE!</v>
      </c>
      <c r="CG8">
        <f>IF('Discovery-Processing-QC feature'!269:269,"AAAAAE/zH1Q=",0)</f>
        <v>0</v>
      </c>
      <c r="CH8" t="e">
        <f>AND('Discovery-Processing-QC feature'!A269,"AAAAAE/zH1U=")</f>
        <v>#VALUE!</v>
      </c>
      <c r="CI8" t="e">
        <f>AND('Discovery-Processing-QC feature'!B269,"AAAAAE/zH1Y=")</f>
        <v>#VALUE!</v>
      </c>
      <c r="CJ8" t="e">
        <f>AND('Discovery-Processing-QC feature'!C269,"AAAAAE/zH1c=")</f>
        <v>#VALUE!</v>
      </c>
      <c r="CK8" t="e">
        <f>AND('Discovery-Processing-QC feature'!D269,"AAAAAE/zH1g=")</f>
        <v>#VALUE!</v>
      </c>
      <c r="CL8" t="e">
        <f>AND('Discovery-Processing-QC feature'!E269,"AAAAAE/zH1k=")</f>
        <v>#VALUE!</v>
      </c>
      <c r="CM8" t="e">
        <f>AND('Discovery-Processing-QC feature'!F269,"AAAAAE/zH1o=")</f>
        <v>#VALUE!</v>
      </c>
      <c r="CN8">
        <f>IF('Discovery-Processing-QC feature'!270:270,"AAAAAE/zH1s=",0)</f>
        <v>0</v>
      </c>
      <c r="CO8" t="e">
        <f>AND('Discovery-Processing-QC feature'!A270,"AAAAAE/zH1w=")</f>
        <v>#VALUE!</v>
      </c>
      <c r="CP8" t="e">
        <f>AND('Discovery-Processing-QC feature'!B270,"AAAAAE/zH10=")</f>
        <v>#VALUE!</v>
      </c>
      <c r="CQ8" t="e">
        <f>AND('Discovery-Processing-QC feature'!C270,"AAAAAE/zH14=")</f>
        <v>#VALUE!</v>
      </c>
      <c r="CR8" t="e">
        <f>AND('Discovery-Processing-QC feature'!D270,"AAAAAE/zH18=")</f>
        <v>#VALUE!</v>
      </c>
      <c r="CS8" t="e">
        <f>AND('Discovery-Processing-QC feature'!E270,"AAAAAE/zH2A=")</f>
        <v>#VALUE!</v>
      </c>
      <c r="CT8" t="e">
        <f>AND('Discovery-Processing-QC feature'!F270,"AAAAAE/zH2E=")</f>
        <v>#VALUE!</v>
      </c>
      <c r="CU8">
        <f>IF('Discovery-Processing-QC feature'!271:271,"AAAAAE/zH2I=",0)</f>
        <v>0</v>
      </c>
      <c r="CV8" t="e">
        <f>AND('Discovery-Processing-QC feature'!A271,"AAAAAE/zH2M=")</f>
        <v>#VALUE!</v>
      </c>
      <c r="CW8" t="e">
        <f>AND('Discovery-Processing-QC feature'!B271,"AAAAAE/zH2Q=")</f>
        <v>#VALUE!</v>
      </c>
      <c r="CX8" t="e">
        <f>AND('Discovery-Processing-QC feature'!C271,"AAAAAE/zH2U=")</f>
        <v>#VALUE!</v>
      </c>
      <c r="CY8" t="e">
        <f>AND('Discovery-Processing-QC feature'!D271,"AAAAAE/zH2Y=")</f>
        <v>#VALUE!</v>
      </c>
      <c r="CZ8" t="e">
        <f>AND('Discovery-Processing-QC feature'!E271,"AAAAAE/zH2c=")</f>
        <v>#VALUE!</v>
      </c>
      <c r="DA8" t="e">
        <f>AND('Discovery-Processing-QC feature'!F271,"AAAAAE/zH2g=")</f>
        <v>#VALUE!</v>
      </c>
      <c r="DB8">
        <f>IF('Discovery-Processing-QC feature'!272:272,"AAAAAE/zH2k=",0)</f>
        <v>0</v>
      </c>
      <c r="DC8" t="e">
        <f>AND('Discovery-Processing-QC feature'!A272,"AAAAAE/zH2o=")</f>
        <v>#VALUE!</v>
      </c>
      <c r="DD8" t="e">
        <f>AND('Discovery-Processing-QC feature'!B272,"AAAAAE/zH2s=")</f>
        <v>#VALUE!</v>
      </c>
      <c r="DE8" t="e">
        <f>AND('Discovery-Processing-QC feature'!C272,"AAAAAE/zH2w=")</f>
        <v>#VALUE!</v>
      </c>
      <c r="DF8" t="e">
        <f>AND('Discovery-Processing-QC feature'!D272,"AAAAAE/zH20=")</f>
        <v>#VALUE!</v>
      </c>
      <c r="DG8" t="e">
        <f>AND('Discovery-Processing-QC feature'!E272,"AAAAAE/zH24=")</f>
        <v>#VALUE!</v>
      </c>
      <c r="DH8" t="e">
        <f>AND('Discovery-Processing-QC feature'!F272,"AAAAAE/zH28=")</f>
        <v>#VALUE!</v>
      </c>
      <c r="DI8">
        <f>IF('Discovery-Processing-QC feature'!273:273,"AAAAAE/zH3A=",0)</f>
        <v>0</v>
      </c>
      <c r="DJ8" t="e">
        <f>AND('Discovery-Processing-QC feature'!A273,"AAAAAE/zH3E=")</f>
        <v>#VALUE!</v>
      </c>
      <c r="DK8" t="e">
        <f>AND('Discovery-Processing-QC feature'!B273,"AAAAAE/zH3I=")</f>
        <v>#VALUE!</v>
      </c>
      <c r="DL8" t="e">
        <f>AND('Discovery-Processing-QC feature'!C273,"AAAAAE/zH3M=")</f>
        <v>#VALUE!</v>
      </c>
      <c r="DM8" t="e">
        <f>AND('Discovery-Processing-QC feature'!D273,"AAAAAE/zH3Q=")</f>
        <v>#VALUE!</v>
      </c>
      <c r="DN8" t="e">
        <f>AND('Discovery-Processing-QC feature'!E273,"AAAAAE/zH3U=")</f>
        <v>#VALUE!</v>
      </c>
      <c r="DO8" t="e">
        <f>AND('Discovery-Processing-QC feature'!F273,"AAAAAE/zH3Y=")</f>
        <v>#VALUE!</v>
      </c>
      <c r="DP8">
        <f>IF('Discovery-Processing-QC feature'!274:274,"AAAAAE/zH3c=",0)</f>
        <v>0</v>
      </c>
      <c r="DQ8" t="e">
        <f>AND('Discovery-Processing-QC feature'!A274,"AAAAAE/zH3g=")</f>
        <v>#VALUE!</v>
      </c>
      <c r="DR8" t="e">
        <f>AND('Discovery-Processing-QC feature'!B274,"AAAAAE/zH3k=")</f>
        <v>#VALUE!</v>
      </c>
      <c r="DS8" t="e">
        <f>AND('Discovery-Processing-QC feature'!C274,"AAAAAE/zH3o=")</f>
        <v>#VALUE!</v>
      </c>
      <c r="DT8" t="e">
        <f>AND('Discovery-Processing-QC feature'!D274,"AAAAAE/zH3s=")</f>
        <v>#VALUE!</v>
      </c>
      <c r="DU8" t="e">
        <f>AND('Discovery-Processing-QC feature'!E274,"AAAAAE/zH3w=")</f>
        <v>#VALUE!</v>
      </c>
      <c r="DV8" t="e">
        <f>AND('Discovery-Processing-QC feature'!F274,"AAAAAE/zH30=")</f>
        <v>#VALUE!</v>
      </c>
      <c r="DW8">
        <f>IF('Discovery-Processing-QC feature'!275:275,"AAAAAE/zH34=",0)</f>
        <v>0</v>
      </c>
      <c r="DX8" t="e">
        <f>AND('Discovery-Processing-QC feature'!A275,"AAAAAE/zH38=")</f>
        <v>#VALUE!</v>
      </c>
      <c r="DY8" t="e">
        <f>AND('Discovery-Processing-QC feature'!B275,"AAAAAE/zH4A=")</f>
        <v>#VALUE!</v>
      </c>
      <c r="DZ8" t="e">
        <f>AND('Discovery-Processing-QC feature'!C275,"AAAAAE/zH4E=")</f>
        <v>#VALUE!</v>
      </c>
      <c r="EA8" t="e">
        <f>AND('Discovery-Processing-QC feature'!D275,"AAAAAE/zH4I=")</f>
        <v>#VALUE!</v>
      </c>
      <c r="EB8" t="e">
        <f>AND('Discovery-Processing-QC feature'!E275,"AAAAAE/zH4M=")</f>
        <v>#VALUE!</v>
      </c>
      <c r="EC8" t="e">
        <f>AND('Discovery-Processing-QC feature'!F275,"AAAAAE/zH4Q=")</f>
        <v>#VALUE!</v>
      </c>
      <c r="ED8">
        <f>IF('Discovery-Processing-QC feature'!276:276,"AAAAAE/zH4U=",0)</f>
        <v>0</v>
      </c>
      <c r="EE8" t="e">
        <f>AND('Discovery-Processing-QC feature'!A276,"AAAAAE/zH4Y=")</f>
        <v>#VALUE!</v>
      </c>
      <c r="EF8" t="e">
        <f>AND('Discovery-Processing-QC feature'!B276,"AAAAAE/zH4c=")</f>
        <v>#VALUE!</v>
      </c>
      <c r="EG8" t="e">
        <f>AND('Discovery-Processing-QC feature'!C276,"AAAAAE/zH4g=")</f>
        <v>#VALUE!</v>
      </c>
      <c r="EH8" t="e">
        <f>AND('Discovery-Processing-QC feature'!D276,"AAAAAE/zH4k=")</f>
        <v>#VALUE!</v>
      </c>
      <c r="EI8" t="e">
        <f>AND('Discovery-Processing-QC feature'!E276,"AAAAAE/zH4o=")</f>
        <v>#VALUE!</v>
      </c>
      <c r="EJ8" t="e">
        <f>AND('Discovery-Processing-QC feature'!F276,"AAAAAE/zH4s=")</f>
        <v>#VALUE!</v>
      </c>
      <c r="EK8">
        <f>IF('Discovery-Processing-QC feature'!277:277,"AAAAAE/zH4w=",0)</f>
        <v>0</v>
      </c>
      <c r="EL8" t="e">
        <f>AND('Discovery-Processing-QC feature'!A277,"AAAAAE/zH40=")</f>
        <v>#VALUE!</v>
      </c>
      <c r="EM8" t="e">
        <f>AND('Discovery-Processing-QC feature'!B277,"AAAAAE/zH44=")</f>
        <v>#VALUE!</v>
      </c>
      <c r="EN8" t="e">
        <f>AND('Discovery-Processing-QC feature'!C277,"AAAAAE/zH48=")</f>
        <v>#VALUE!</v>
      </c>
      <c r="EO8" t="e">
        <f>AND('Discovery-Processing-QC feature'!D277,"AAAAAE/zH5A=")</f>
        <v>#VALUE!</v>
      </c>
      <c r="EP8" t="e">
        <f>AND('Discovery-Processing-QC feature'!E277,"AAAAAE/zH5E=")</f>
        <v>#VALUE!</v>
      </c>
      <c r="EQ8" t="e">
        <f>AND('Discovery-Processing-QC feature'!F277,"AAAAAE/zH5I=")</f>
        <v>#VALUE!</v>
      </c>
      <c r="ER8">
        <f>IF('Discovery-Processing-QC feature'!278:278,"AAAAAE/zH5M=",0)</f>
        <v>0</v>
      </c>
      <c r="ES8" t="e">
        <f>AND('Discovery-Processing-QC feature'!A278,"AAAAAE/zH5Q=")</f>
        <v>#VALUE!</v>
      </c>
      <c r="ET8" t="e">
        <f>AND('Discovery-Processing-QC feature'!B278,"AAAAAE/zH5U=")</f>
        <v>#VALUE!</v>
      </c>
      <c r="EU8" t="e">
        <f>AND('Discovery-Processing-QC feature'!C278,"AAAAAE/zH5Y=")</f>
        <v>#VALUE!</v>
      </c>
      <c r="EV8" t="e">
        <f>AND('Discovery-Processing-QC feature'!D278,"AAAAAE/zH5c=")</f>
        <v>#VALUE!</v>
      </c>
      <c r="EW8" t="e">
        <f>AND('Discovery-Processing-QC feature'!E278,"AAAAAE/zH5g=")</f>
        <v>#VALUE!</v>
      </c>
      <c r="EX8" t="e">
        <f>AND('Discovery-Processing-QC feature'!F278,"AAAAAE/zH5k=")</f>
        <v>#VALUE!</v>
      </c>
      <c r="EY8">
        <f>IF('Discovery-Processing-QC feature'!279:279,"AAAAAE/zH5o=",0)</f>
        <v>0</v>
      </c>
      <c r="EZ8" t="e">
        <f>AND('Discovery-Processing-QC feature'!A279,"AAAAAE/zH5s=")</f>
        <v>#VALUE!</v>
      </c>
      <c r="FA8" t="e">
        <f>AND('Discovery-Processing-QC feature'!B279,"AAAAAE/zH5w=")</f>
        <v>#VALUE!</v>
      </c>
      <c r="FB8" t="e">
        <f>AND('Discovery-Processing-QC feature'!C279,"AAAAAE/zH50=")</f>
        <v>#VALUE!</v>
      </c>
      <c r="FC8" t="e">
        <f>AND('Discovery-Processing-QC feature'!D279,"AAAAAE/zH54=")</f>
        <v>#VALUE!</v>
      </c>
      <c r="FD8" t="e">
        <f>AND('Discovery-Processing-QC feature'!E279,"AAAAAE/zH58=")</f>
        <v>#VALUE!</v>
      </c>
      <c r="FE8" t="e">
        <f>AND('Discovery-Processing-QC feature'!F279,"AAAAAE/zH6A=")</f>
        <v>#VALUE!</v>
      </c>
      <c r="FF8">
        <f>IF('Discovery-Processing-QC feature'!280:280,"AAAAAE/zH6E=",0)</f>
        <v>0</v>
      </c>
      <c r="FG8" t="e">
        <f>AND('Discovery-Processing-QC feature'!A280,"AAAAAE/zH6I=")</f>
        <v>#VALUE!</v>
      </c>
      <c r="FH8" t="e">
        <f>AND('Discovery-Processing-QC feature'!B280,"AAAAAE/zH6M=")</f>
        <v>#VALUE!</v>
      </c>
      <c r="FI8" t="e">
        <f>AND('Discovery-Processing-QC feature'!C280,"AAAAAE/zH6Q=")</f>
        <v>#VALUE!</v>
      </c>
      <c r="FJ8" t="e">
        <f>AND('Discovery-Processing-QC feature'!D280,"AAAAAE/zH6U=")</f>
        <v>#VALUE!</v>
      </c>
      <c r="FK8" t="e">
        <f>AND('Discovery-Processing-QC feature'!E280,"AAAAAE/zH6Y=")</f>
        <v>#VALUE!</v>
      </c>
      <c r="FL8" t="e">
        <f>AND('Discovery-Processing-QC feature'!F280,"AAAAAE/zH6c=")</f>
        <v>#VALUE!</v>
      </c>
      <c r="FM8">
        <f>IF('Discovery-Processing-QC feature'!281:281,"AAAAAE/zH6g=",0)</f>
        <v>0</v>
      </c>
      <c r="FN8" t="e">
        <f>AND('Discovery-Processing-QC feature'!A281,"AAAAAE/zH6k=")</f>
        <v>#VALUE!</v>
      </c>
      <c r="FO8" t="e">
        <f>AND('Discovery-Processing-QC feature'!B281,"AAAAAE/zH6o=")</f>
        <v>#VALUE!</v>
      </c>
      <c r="FP8" t="e">
        <f>AND('Discovery-Processing-QC feature'!C281,"AAAAAE/zH6s=")</f>
        <v>#VALUE!</v>
      </c>
      <c r="FQ8" t="e">
        <f>AND('Discovery-Processing-QC feature'!D281,"AAAAAE/zH6w=")</f>
        <v>#VALUE!</v>
      </c>
      <c r="FR8" t="e">
        <f>AND('Discovery-Processing-QC feature'!E281,"AAAAAE/zH60=")</f>
        <v>#VALUE!</v>
      </c>
      <c r="FS8" t="e">
        <f>AND('Discovery-Processing-QC feature'!F281,"AAAAAE/zH64=")</f>
        <v>#VALUE!</v>
      </c>
      <c r="FT8">
        <f>IF('Discovery-Processing-QC feature'!282:282,"AAAAAE/zH68=",0)</f>
        <v>0</v>
      </c>
      <c r="FU8" t="e">
        <f>AND('Discovery-Processing-QC feature'!A282,"AAAAAE/zH7A=")</f>
        <v>#VALUE!</v>
      </c>
      <c r="FV8" t="e">
        <f>AND('Discovery-Processing-QC feature'!B282,"AAAAAE/zH7E=")</f>
        <v>#VALUE!</v>
      </c>
      <c r="FW8" t="e">
        <f>AND('Discovery-Processing-QC feature'!C282,"AAAAAE/zH7I=")</f>
        <v>#VALUE!</v>
      </c>
      <c r="FX8" t="e">
        <f>AND('Discovery-Processing-QC feature'!D282,"AAAAAE/zH7M=")</f>
        <v>#VALUE!</v>
      </c>
      <c r="FY8" t="e">
        <f>AND('Discovery-Processing-QC feature'!E282,"AAAAAE/zH7Q=")</f>
        <v>#VALUE!</v>
      </c>
      <c r="FZ8" t="e">
        <f>AND('Discovery-Processing-QC feature'!F282,"AAAAAE/zH7U=")</f>
        <v>#VALUE!</v>
      </c>
      <c r="GA8">
        <f>IF('Discovery-Processing-QC feature'!283:283,"AAAAAE/zH7Y=",0)</f>
        <v>0</v>
      </c>
      <c r="GB8" t="e">
        <f>AND('Discovery-Processing-QC feature'!A283,"AAAAAE/zH7c=")</f>
        <v>#VALUE!</v>
      </c>
      <c r="GC8" t="e">
        <f>AND('Discovery-Processing-QC feature'!B283,"AAAAAE/zH7g=")</f>
        <v>#VALUE!</v>
      </c>
      <c r="GD8" t="e">
        <f>AND('Discovery-Processing-QC feature'!C283,"AAAAAE/zH7k=")</f>
        <v>#VALUE!</v>
      </c>
      <c r="GE8" t="e">
        <f>AND('Discovery-Processing-QC feature'!D283,"AAAAAE/zH7o=")</f>
        <v>#VALUE!</v>
      </c>
      <c r="GF8" t="e">
        <f>AND('Discovery-Processing-QC feature'!E283,"AAAAAE/zH7s=")</f>
        <v>#VALUE!</v>
      </c>
      <c r="GG8" t="e">
        <f>AND('Discovery-Processing-QC feature'!F283,"AAAAAE/zH7w=")</f>
        <v>#VALUE!</v>
      </c>
      <c r="GH8">
        <f>IF('Discovery-Processing-QC feature'!284:284,"AAAAAE/zH70=",0)</f>
        <v>0</v>
      </c>
      <c r="GI8" t="e">
        <f>AND('Discovery-Processing-QC feature'!A284,"AAAAAE/zH74=")</f>
        <v>#VALUE!</v>
      </c>
      <c r="GJ8" t="e">
        <f>AND('Discovery-Processing-QC feature'!B284,"AAAAAE/zH78=")</f>
        <v>#VALUE!</v>
      </c>
      <c r="GK8" t="e">
        <f>AND('Discovery-Processing-QC feature'!C284,"AAAAAE/zH8A=")</f>
        <v>#VALUE!</v>
      </c>
      <c r="GL8" t="e">
        <f>AND('Discovery-Processing-QC feature'!D284,"AAAAAE/zH8E=")</f>
        <v>#VALUE!</v>
      </c>
      <c r="GM8" t="e">
        <f>AND('Discovery-Processing-QC feature'!E284,"AAAAAE/zH8I=")</f>
        <v>#VALUE!</v>
      </c>
      <c r="GN8" t="e">
        <f>AND('Discovery-Processing-QC feature'!F284,"AAAAAE/zH8M=")</f>
        <v>#VALUE!</v>
      </c>
      <c r="GO8">
        <f>IF('Discovery-Processing-QC feature'!285:285,"AAAAAE/zH8Q=",0)</f>
        <v>0</v>
      </c>
      <c r="GP8" t="e">
        <f>AND('Discovery-Processing-QC feature'!A285,"AAAAAE/zH8U=")</f>
        <v>#VALUE!</v>
      </c>
      <c r="GQ8" t="e">
        <f>AND('Discovery-Processing-QC feature'!B285,"AAAAAE/zH8Y=")</f>
        <v>#VALUE!</v>
      </c>
      <c r="GR8" t="e">
        <f>AND('Discovery-Processing-QC feature'!C285,"AAAAAE/zH8c=")</f>
        <v>#VALUE!</v>
      </c>
      <c r="GS8" t="e">
        <f>AND('Discovery-Processing-QC feature'!D285,"AAAAAE/zH8g=")</f>
        <v>#VALUE!</v>
      </c>
      <c r="GT8" t="e">
        <f>AND('Discovery-Processing-QC feature'!E285,"AAAAAE/zH8k=")</f>
        <v>#VALUE!</v>
      </c>
      <c r="GU8" t="e">
        <f>AND('Discovery-Processing-QC feature'!F285,"AAAAAE/zH8o=")</f>
        <v>#VALUE!</v>
      </c>
      <c r="GV8">
        <f>IF('Discovery-Processing-QC feature'!286:286,"AAAAAE/zH8s=",0)</f>
        <v>0</v>
      </c>
      <c r="GW8" t="e">
        <f>AND('Discovery-Processing-QC feature'!A286,"AAAAAE/zH8w=")</f>
        <v>#VALUE!</v>
      </c>
      <c r="GX8" t="e">
        <f>AND('Discovery-Processing-QC feature'!B286,"AAAAAE/zH80=")</f>
        <v>#VALUE!</v>
      </c>
      <c r="GY8" t="e">
        <f>AND('Discovery-Processing-QC feature'!C286,"AAAAAE/zH84=")</f>
        <v>#VALUE!</v>
      </c>
      <c r="GZ8" t="e">
        <f>AND('Discovery-Processing-QC feature'!D286,"AAAAAE/zH88=")</f>
        <v>#VALUE!</v>
      </c>
      <c r="HA8" t="e">
        <f>AND('Discovery-Processing-QC feature'!E286,"AAAAAE/zH9A=")</f>
        <v>#VALUE!</v>
      </c>
      <c r="HB8" t="e">
        <f>AND('Discovery-Processing-QC feature'!F286,"AAAAAE/zH9E=")</f>
        <v>#VALUE!</v>
      </c>
      <c r="HC8">
        <f>IF('Discovery-Processing-QC feature'!287:287,"AAAAAE/zH9I=",0)</f>
        <v>0</v>
      </c>
      <c r="HD8" t="e">
        <f>AND('Discovery-Processing-QC feature'!A287,"AAAAAE/zH9M=")</f>
        <v>#VALUE!</v>
      </c>
      <c r="HE8" t="e">
        <f>AND('Discovery-Processing-QC feature'!B287,"AAAAAE/zH9Q=")</f>
        <v>#VALUE!</v>
      </c>
      <c r="HF8" t="e">
        <f>AND('Discovery-Processing-QC feature'!C287,"AAAAAE/zH9U=")</f>
        <v>#VALUE!</v>
      </c>
      <c r="HG8" t="e">
        <f>AND('Discovery-Processing-QC feature'!D287,"AAAAAE/zH9Y=")</f>
        <v>#VALUE!</v>
      </c>
      <c r="HH8" t="e">
        <f>AND('Discovery-Processing-QC feature'!E287,"AAAAAE/zH9c=")</f>
        <v>#VALUE!</v>
      </c>
      <c r="HI8" t="e">
        <f>AND('Discovery-Processing-QC feature'!F287,"AAAAAE/zH9g=")</f>
        <v>#VALUE!</v>
      </c>
      <c r="HJ8">
        <f>IF('Discovery-Processing-QC feature'!288:288,"AAAAAE/zH9k=",0)</f>
        <v>0</v>
      </c>
      <c r="HK8" t="e">
        <f>AND('Discovery-Processing-QC feature'!A288,"AAAAAE/zH9o=")</f>
        <v>#VALUE!</v>
      </c>
      <c r="HL8" t="e">
        <f>AND('Discovery-Processing-QC feature'!B288,"AAAAAE/zH9s=")</f>
        <v>#VALUE!</v>
      </c>
      <c r="HM8" t="e">
        <f>AND('Discovery-Processing-QC feature'!C288,"AAAAAE/zH9w=")</f>
        <v>#VALUE!</v>
      </c>
      <c r="HN8" t="e">
        <f>AND('Discovery-Processing-QC feature'!D288,"AAAAAE/zH90=")</f>
        <v>#VALUE!</v>
      </c>
      <c r="HO8" t="e">
        <f>AND('Discovery-Processing-QC feature'!E288,"AAAAAE/zH94=")</f>
        <v>#VALUE!</v>
      </c>
      <c r="HP8" t="e">
        <f>AND('Discovery-Processing-QC feature'!F288,"AAAAAE/zH98=")</f>
        <v>#VALUE!</v>
      </c>
      <c r="HQ8">
        <f>IF('Discovery-Processing-QC feature'!289:289,"AAAAAE/zH+A=",0)</f>
        <v>0</v>
      </c>
      <c r="HR8" t="e">
        <f>AND('Discovery-Processing-QC feature'!A289,"AAAAAE/zH+E=")</f>
        <v>#VALUE!</v>
      </c>
      <c r="HS8" t="e">
        <f>AND('Discovery-Processing-QC feature'!B289,"AAAAAE/zH+I=")</f>
        <v>#VALUE!</v>
      </c>
      <c r="HT8" t="e">
        <f>AND('Discovery-Processing-QC feature'!C289,"AAAAAE/zH+M=")</f>
        <v>#VALUE!</v>
      </c>
      <c r="HU8" t="e">
        <f>AND('Discovery-Processing-QC feature'!D289,"AAAAAE/zH+Q=")</f>
        <v>#VALUE!</v>
      </c>
      <c r="HV8" t="e">
        <f>AND('Discovery-Processing-QC feature'!E289,"AAAAAE/zH+U=")</f>
        <v>#VALUE!</v>
      </c>
      <c r="HW8" t="e">
        <f>AND('Discovery-Processing-QC feature'!F289,"AAAAAE/zH+Y=")</f>
        <v>#VALUE!</v>
      </c>
      <c r="HX8">
        <f>IF('Discovery-Processing-QC feature'!290:290,"AAAAAE/zH+c=",0)</f>
        <v>0</v>
      </c>
      <c r="HY8" t="e">
        <f>AND('Discovery-Processing-QC feature'!A290,"AAAAAE/zH+g=")</f>
        <v>#VALUE!</v>
      </c>
      <c r="HZ8" t="e">
        <f>AND('Discovery-Processing-QC feature'!B290,"AAAAAE/zH+k=")</f>
        <v>#VALUE!</v>
      </c>
      <c r="IA8" t="e">
        <f>AND('Discovery-Processing-QC feature'!C290,"AAAAAE/zH+o=")</f>
        <v>#VALUE!</v>
      </c>
      <c r="IB8" t="e">
        <f>AND('Discovery-Processing-QC feature'!D290,"AAAAAE/zH+s=")</f>
        <v>#VALUE!</v>
      </c>
      <c r="IC8" t="e">
        <f>AND('Discovery-Processing-QC feature'!E290,"AAAAAE/zH+w=")</f>
        <v>#VALUE!</v>
      </c>
      <c r="ID8" t="e">
        <f>AND('Discovery-Processing-QC feature'!F290,"AAAAAE/zH+0=")</f>
        <v>#VALUE!</v>
      </c>
      <c r="IE8">
        <f>IF('Discovery-Processing-QC feature'!291:291,"AAAAAE/zH+4=",0)</f>
        <v>0</v>
      </c>
      <c r="IF8" t="e">
        <f>AND('Discovery-Processing-QC feature'!A291,"AAAAAE/zH+8=")</f>
        <v>#VALUE!</v>
      </c>
      <c r="IG8" t="e">
        <f>AND('Discovery-Processing-QC feature'!B291,"AAAAAE/zH/A=")</f>
        <v>#VALUE!</v>
      </c>
      <c r="IH8" t="e">
        <f>AND('Discovery-Processing-QC feature'!C291,"AAAAAE/zH/E=")</f>
        <v>#VALUE!</v>
      </c>
      <c r="II8" t="e">
        <f>AND('Discovery-Processing-QC feature'!D291,"AAAAAE/zH/I=")</f>
        <v>#VALUE!</v>
      </c>
      <c r="IJ8" t="e">
        <f>AND('Discovery-Processing-QC feature'!E291,"AAAAAE/zH/M=")</f>
        <v>#VALUE!</v>
      </c>
      <c r="IK8" t="e">
        <f>AND('Discovery-Processing-QC feature'!F291,"AAAAAE/zH/Q=")</f>
        <v>#VALUE!</v>
      </c>
      <c r="IL8">
        <f>IF('Discovery-Processing-QC feature'!292:292,"AAAAAE/zH/U=",0)</f>
        <v>0</v>
      </c>
      <c r="IM8" t="e">
        <f>AND('Discovery-Processing-QC feature'!A292,"AAAAAE/zH/Y=")</f>
        <v>#VALUE!</v>
      </c>
      <c r="IN8" t="e">
        <f>AND('Discovery-Processing-QC feature'!B292,"AAAAAE/zH/c=")</f>
        <v>#VALUE!</v>
      </c>
      <c r="IO8" t="e">
        <f>AND('Discovery-Processing-QC feature'!C292,"AAAAAE/zH/g=")</f>
        <v>#VALUE!</v>
      </c>
      <c r="IP8" t="e">
        <f>AND('Discovery-Processing-QC feature'!D292,"AAAAAE/zH/k=")</f>
        <v>#VALUE!</v>
      </c>
      <c r="IQ8" t="e">
        <f>AND('Discovery-Processing-QC feature'!E292,"AAAAAE/zH/o=")</f>
        <v>#VALUE!</v>
      </c>
      <c r="IR8" t="e">
        <f>AND('Discovery-Processing-QC feature'!F292,"AAAAAE/zH/s=")</f>
        <v>#VALUE!</v>
      </c>
      <c r="IS8">
        <f>IF('Discovery-Processing-QC feature'!293:293,"AAAAAE/zH/w=",0)</f>
        <v>0</v>
      </c>
      <c r="IT8" t="e">
        <f>AND('Discovery-Processing-QC feature'!A293,"AAAAAE/zH/0=")</f>
        <v>#VALUE!</v>
      </c>
      <c r="IU8" t="e">
        <f>AND('Discovery-Processing-QC feature'!B293,"AAAAAE/zH/4=")</f>
        <v>#VALUE!</v>
      </c>
      <c r="IV8" t="e">
        <f>AND('Discovery-Processing-QC feature'!C293,"AAAAAE/zH/8=")</f>
        <v>#VALUE!</v>
      </c>
    </row>
    <row r="9" spans="1:256" x14ac:dyDescent="0.2">
      <c r="A9" t="e">
        <f>AND('Discovery-Processing-QC feature'!D293,"AAAAADr//gA=")</f>
        <v>#VALUE!</v>
      </c>
      <c r="B9" t="e">
        <f>AND('Discovery-Processing-QC feature'!E293,"AAAAADr//gE=")</f>
        <v>#VALUE!</v>
      </c>
      <c r="C9" t="e">
        <f>AND('Discovery-Processing-QC feature'!F293,"AAAAADr//gI=")</f>
        <v>#VALUE!</v>
      </c>
      <c r="D9" t="e">
        <f>IF('Discovery-Processing-QC feature'!294:294,"AAAAADr//gM=",0)</f>
        <v>#VALUE!</v>
      </c>
      <c r="E9" t="e">
        <f>AND('Discovery-Processing-QC feature'!A294,"AAAAADr//gQ=")</f>
        <v>#VALUE!</v>
      </c>
      <c r="F9" t="e">
        <f>AND('Discovery-Processing-QC feature'!B294,"AAAAADr//gU=")</f>
        <v>#VALUE!</v>
      </c>
      <c r="G9" t="e">
        <f>AND('Discovery-Processing-QC feature'!C294,"AAAAADr//gY=")</f>
        <v>#VALUE!</v>
      </c>
      <c r="H9" t="e">
        <f>AND('Discovery-Processing-QC feature'!D294,"AAAAADr//gc=")</f>
        <v>#VALUE!</v>
      </c>
      <c r="I9" t="e">
        <f>AND('Discovery-Processing-QC feature'!E294,"AAAAADr//gg=")</f>
        <v>#VALUE!</v>
      </c>
      <c r="J9" t="e">
        <f>AND('Discovery-Processing-QC feature'!F294,"AAAAADr//gk=")</f>
        <v>#VALUE!</v>
      </c>
      <c r="K9">
        <f>IF('Discovery-Processing-QC feature'!295:295,"AAAAADr//go=",0)</f>
        <v>0</v>
      </c>
      <c r="L9" t="e">
        <f>AND('Discovery-Processing-QC feature'!A295,"AAAAADr//gs=")</f>
        <v>#VALUE!</v>
      </c>
      <c r="M9" t="e">
        <f>AND('Discovery-Processing-QC feature'!B295,"AAAAADr//gw=")</f>
        <v>#VALUE!</v>
      </c>
      <c r="N9" t="e">
        <f>AND('Discovery-Processing-QC feature'!C295,"AAAAADr//g0=")</f>
        <v>#VALUE!</v>
      </c>
      <c r="O9" t="e">
        <f>AND('Discovery-Processing-QC feature'!D295,"AAAAADr//g4=")</f>
        <v>#VALUE!</v>
      </c>
      <c r="P9" t="e">
        <f>AND('Discovery-Processing-QC feature'!E295,"AAAAADr//g8=")</f>
        <v>#VALUE!</v>
      </c>
      <c r="Q9" t="e">
        <f>AND('Discovery-Processing-QC feature'!F295,"AAAAADr//hA=")</f>
        <v>#VALUE!</v>
      </c>
      <c r="R9">
        <f>IF('Discovery-Processing-QC feature'!296:296,"AAAAADr//hE=",0)</f>
        <v>0</v>
      </c>
      <c r="S9" t="e">
        <f>AND('Discovery-Processing-QC feature'!A296,"AAAAADr//hI=")</f>
        <v>#VALUE!</v>
      </c>
      <c r="T9" t="e">
        <f>AND('Discovery-Processing-QC feature'!B296,"AAAAADr//hM=")</f>
        <v>#VALUE!</v>
      </c>
      <c r="U9" t="e">
        <f>AND('Discovery-Processing-QC feature'!C296,"AAAAADr//hQ=")</f>
        <v>#VALUE!</v>
      </c>
      <c r="V9" t="e">
        <f>AND('Discovery-Processing-QC feature'!D296,"AAAAADr//hU=")</f>
        <v>#VALUE!</v>
      </c>
      <c r="W9" t="e">
        <f>AND('Discovery-Processing-QC feature'!E296,"AAAAADr//hY=")</f>
        <v>#VALUE!</v>
      </c>
      <c r="X9" t="e">
        <f>AND('Discovery-Processing-QC feature'!F296,"AAAAADr//hc=")</f>
        <v>#VALUE!</v>
      </c>
      <c r="Y9">
        <f>IF('Discovery-Processing-QC feature'!297:297,"AAAAADr//hg=",0)</f>
        <v>0</v>
      </c>
      <c r="Z9" t="e">
        <f>AND('Discovery-Processing-QC feature'!A297,"AAAAADr//hk=")</f>
        <v>#VALUE!</v>
      </c>
      <c r="AA9" t="e">
        <f>AND('Discovery-Processing-QC feature'!B297,"AAAAADr//ho=")</f>
        <v>#VALUE!</v>
      </c>
      <c r="AB9" t="e">
        <f>AND('Discovery-Processing-QC feature'!C297,"AAAAADr//hs=")</f>
        <v>#VALUE!</v>
      </c>
      <c r="AC9" t="e">
        <f>AND('Discovery-Processing-QC feature'!D297,"AAAAADr//hw=")</f>
        <v>#VALUE!</v>
      </c>
      <c r="AD9" t="e">
        <f>AND('Discovery-Processing-QC feature'!E297,"AAAAADr//h0=")</f>
        <v>#VALUE!</v>
      </c>
      <c r="AE9" t="e">
        <f>AND('Discovery-Processing-QC feature'!F297,"AAAAADr//h4=")</f>
        <v>#VALUE!</v>
      </c>
      <c r="AF9">
        <f>IF('Discovery-Processing-QC feature'!298:298,"AAAAADr//h8=",0)</f>
        <v>0</v>
      </c>
      <c r="AG9" t="e">
        <f>AND('Discovery-Processing-QC feature'!A298,"AAAAADr//iA=")</f>
        <v>#VALUE!</v>
      </c>
      <c r="AH9" t="e">
        <f>AND('Discovery-Processing-QC feature'!B298,"AAAAADr//iE=")</f>
        <v>#VALUE!</v>
      </c>
      <c r="AI9" t="e">
        <f>AND('Discovery-Processing-QC feature'!C298,"AAAAADr//iI=")</f>
        <v>#VALUE!</v>
      </c>
      <c r="AJ9" t="e">
        <f>AND('Discovery-Processing-QC feature'!D298,"AAAAADr//iM=")</f>
        <v>#VALUE!</v>
      </c>
      <c r="AK9" t="e">
        <f>AND('Discovery-Processing-QC feature'!E298,"AAAAADr//iQ=")</f>
        <v>#VALUE!</v>
      </c>
      <c r="AL9" t="e">
        <f>AND('Discovery-Processing-QC feature'!F298,"AAAAADr//iU=")</f>
        <v>#VALUE!</v>
      </c>
      <c r="AM9">
        <f>IF('Discovery-Processing-QC feature'!299:299,"AAAAADr//iY=",0)</f>
        <v>0</v>
      </c>
      <c r="AN9" t="e">
        <f>AND('Discovery-Processing-QC feature'!A299,"AAAAADr//ic=")</f>
        <v>#VALUE!</v>
      </c>
      <c r="AO9" t="e">
        <f>AND('Discovery-Processing-QC feature'!B299,"AAAAADr//ig=")</f>
        <v>#VALUE!</v>
      </c>
      <c r="AP9" t="e">
        <f>AND('Discovery-Processing-QC feature'!C299,"AAAAADr//ik=")</f>
        <v>#VALUE!</v>
      </c>
      <c r="AQ9" t="e">
        <f>AND('Discovery-Processing-QC feature'!D299,"AAAAADr//io=")</f>
        <v>#VALUE!</v>
      </c>
      <c r="AR9" t="e">
        <f>AND('Discovery-Processing-QC feature'!E299,"AAAAADr//is=")</f>
        <v>#VALUE!</v>
      </c>
      <c r="AS9" t="e">
        <f>AND('Discovery-Processing-QC feature'!F299,"AAAAADr//iw=")</f>
        <v>#VALUE!</v>
      </c>
      <c r="AT9">
        <f>IF('Discovery-Processing-QC feature'!300:300,"AAAAADr//i0=",0)</f>
        <v>0</v>
      </c>
      <c r="AU9" t="e">
        <f>AND('Discovery-Processing-QC feature'!A300,"AAAAADr//i4=")</f>
        <v>#VALUE!</v>
      </c>
      <c r="AV9" t="e">
        <f>AND('Discovery-Processing-QC feature'!B300,"AAAAADr//i8=")</f>
        <v>#VALUE!</v>
      </c>
      <c r="AW9" t="e">
        <f>AND('Discovery-Processing-QC feature'!C300,"AAAAADr//jA=")</f>
        <v>#VALUE!</v>
      </c>
      <c r="AX9" t="e">
        <f>AND('Discovery-Processing-QC feature'!D300,"AAAAADr//jE=")</f>
        <v>#VALUE!</v>
      </c>
      <c r="AY9" t="e">
        <f>AND('Discovery-Processing-QC feature'!E300,"AAAAADr//jI=")</f>
        <v>#VALUE!</v>
      </c>
      <c r="AZ9" t="e">
        <f>AND('Discovery-Processing-QC feature'!F300,"AAAAADr//jM=")</f>
        <v>#VALUE!</v>
      </c>
      <c r="BA9">
        <f>IF('Discovery-Processing-QC feature'!301:301,"AAAAADr//jQ=",0)</f>
        <v>0</v>
      </c>
      <c r="BB9" t="e">
        <f>AND('Discovery-Processing-QC feature'!A301,"AAAAADr//jU=")</f>
        <v>#VALUE!</v>
      </c>
      <c r="BC9" t="e">
        <f>AND('Discovery-Processing-QC feature'!B301,"AAAAADr//jY=")</f>
        <v>#VALUE!</v>
      </c>
      <c r="BD9" t="e">
        <f>AND('Discovery-Processing-QC feature'!C301,"AAAAADr//jc=")</f>
        <v>#VALUE!</v>
      </c>
      <c r="BE9" t="e">
        <f>AND('Discovery-Processing-QC feature'!D301,"AAAAADr//jg=")</f>
        <v>#VALUE!</v>
      </c>
      <c r="BF9" t="e">
        <f>AND('Discovery-Processing-QC feature'!E301,"AAAAADr//jk=")</f>
        <v>#VALUE!</v>
      </c>
      <c r="BG9" t="e">
        <f>AND('Discovery-Processing-QC feature'!F301,"AAAAADr//jo=")</f>
        <v>#VALUE!</v>
      </c>
      <c r="BH9">
        <f>IF('Discovery-Processing-QC feature'!302:302,"AAAAADr//js=",0)</f>
        <v>0</v>
      </c>
      <c r="BI9" t="e">
        <f>AND('Discovery-Processing-QC feature'!A302,"AAAAADr//jw=")</f>
        <v>#VALUE!</v>
      </c>
      <c r="BJ9" t="e">
        <f>AND('Discovery-Processing-QC feature'!B302,"AAAAADr//j0=")</f>
        <v>#VALUE!</v>
      </c>
      <c r="BK9" t="e">
        <f>AND('Discovery-Processing-QC feature'!C302,"AAAAADr//j4=")</f>
        <v>#VALUE!</v>
      </c>
      <c r="BL9" t="e">
        <f>AND('Discovery-Processing-QC feature'!D302,"AAAAADr//j8=")</f>
        <v>#VALUE!</v>
      </c>
      <c r="BM9" t="e">
        <f>AND('Discovery-Processing-QC feature'!E302,"AAAAADr//kA=")</f>
        <v>#VALUE!</v>
      </c>
      <c r="BN9" t="e">
        <f>AND('Discovery-Processing-QC feature'!F302,"AAAAADr//kE=")</f>
        <v>#VALUE!</v>
      </c>
      <c r="BO9">
        <f>IF('Discovery-Processing-QC feature'!303:303,"AAAAADr//kI=",0)</f>
        <v>0</v>
      </c>
      <c r="BP9" t="e">
        <f>AND('Discovery-Processing-QC feature'!A303,"AAAAADr//kM=")</f>
        <v>#VALUE!</v>
      </c>
      <c r="BQ9" t="e">
        <f>AND('Discovery-Processing-QC feature'!B303,"AAAAADr//kQ=")</f>
        <v>#VALUE!</v>
      </c>
      <c r="BR9" t="e">
        <f>AND('Discovery-Processing-QC feature'!C303,"AAAAADr//kU=")</f>
        <v>#VALUE!</v>
      </c>
      <c r="BS9" t="e">
        <f>AND('Discovery-Processing-QC feature'!D303,"AAAAADr//kY=")</f>
        <v>#VALUE!</v>
      </c>
      <c r="BT9" t="e">
        <f>AND('Discovery-Processing-QC feature'!E303,"AAAAADr//kc=")</f>
        <v>#VALUE!</v>
      </c>
      <c r="BU9" t="e">
        <f>AND('Discovery-Processing-QC feature'!F303,"AAAAADr//kg=")</f>
        <v>#VALUE!</v>
      </c>
      <c r="BV9">
        <f>IF('Discovery-Processing-QC feature'!304:304,"AAAAADr//kk=",0)</f>
        <v>0</v>
      </c>
      <c r="BW9" t="e">
        <f>AND('Discovery-Processing-QC feature'!A304,"AAAAADr//ko=")</f>
        <v>#VALUE!</v>
      </c>
      <c r="BX9" t="e">
        <f>AND('Discovery-Processing-QC feature'!B304,"AAAAADr//ks=")</f>
        <v>#VALUE!</v>
      </c>
      <c r="BY9" t="e">
        <f>AND('Discovery-Processing-QC feature'!C304,"AAAAADr//kw=")</f>
        <v>#VALUE!</v>
      </c>
      <c r="BZ9" t="e">
        <f>AND('Discovery-Processing-QC feature'!D304,"AAAAADr//k0=")</f>
        <v>#VALUE!</v>
      </c>
      <c r="CA9" t="e">
        <f>AND('Discovery-Processing-QC feature'!E304,"AAAAADr//k4=")</f>
        <v>#VALUE!</v>
      </c>
      <c r="CB9" t="e">
        <f>AND('Discovery-Processing-QC feature'!F304,"AAAAADr//k8=")</f>
        <v>#VALUE!</v>
      </c>
      <c r="CC9">
        <f>IF('Discovery-Processing-QC feature'!305:305,"AAAAADr//lA=",0)</f>
        <v>0</v>
      </c>
      <c r="CD9" t="e">
        <f>AND('Discovery-Processing-QC feature'!A305,"AAAAADr//lE=")</f>
        <v>#VALUE!</v>
      </c>
      <c r="CE9" t="e">
        <f>AND('Discovery-Processing-QC feature'!B305,"AAAAADr//lI=")</f>
        <v>#VALUE!</v>
      </c>
      <c r="CF9" t="e">
        <f>AND('Discovery-Processing-QC feature'!C305,"AAAAADr//lM=")</f>
        <v>#VALUE!</v>
      </c>
      <c r="CG9" t="e">
        <f>AND('Discovery-Processing-QC feature'!D305,"AAAAADr//lQ=")</f>
        <v>#VALUE!</v>
      </c>
      <c r="CH9" t="e">
        <f>AND('Discovery-Processing-QC feature'!E305,"AAAAADr//lU=")</f>
        <v>#VALUE!</v>
      </c>
      <c r="CI9" t="e">
        <f>AND('Discovery-Processing-QC feature'!F305,"AAAAADr//lY=")</f>
        <v>#VALUE!</v>
      </c>
      <c r="CJ9">
        <f>IF('Discovery-Processing-QC feature'!306:306,"AAAAADr//lc=",0)</f>
        <v>0</v>
      </c>
      <c r="CK9" t="e">
        <f>AND('Discovery-Processing-QC feature'!A306,"AAAAADr//lg=")</f>
        <v>#VALUE!</v>
      </c>
      <c r="CL9" t="e">
        <f>AND('Discovery-Processing-QC feature'!B306,"AAAAADr//lk=")</f>
        <v>#VALUE!</v>
      </c>
      <c r="CM9" t="e">
        <f>AND('Discovery-Processing-QC feature'!C306,"AAAAADr//lo=")</f>
        <v>#VALUE!</v>
      </c>
      <c r="CN9" t="e">
        <f>AND('Discovery-Processing-QC feature'!D306,"AAAAADr//ls=")</f>
        <v>#VALUE!</v>
      </c>
      <c r="CO9" t="e">
        <f>AND('Discovery-Processing-QC feature'!E306,"AAAAADr//lw=")</f>
        <v>#VALUE!</v>
      </c>
      <c r="CP9" t="e">
        <f>AND('Discovery-Processing-QC feature'!F306,"AAAAADr//l0=")</f>
        <v>#VALUE!</v>
      </c>
      <c r="CQ9">
        <f>IF('Discovery-Processing-QC feature'!307:307,"AAAAADr//l4=",0)</f>
        <v>0</v>
      </c>
      <c r="CR9" t="e">
        <f>AND('Discovery-Processing-QC feature'!A307,"AAAAADr//l8=")</f>
        <v>#VALUE!</v>
      </c>
      <c r="CS9" t="e">
        <f>AND('Discovery-Processing-QC feature'!B307,"AAAAADr//mA=")</f>
        <v>#VALUE!</v>
      </c>
      <c r="CT9" t="e">
        <f>AND('Discovery-Processing-QC feature'!C307,"AAAAADr//mE=")</f>
        <v>#VALUE!</v>
      </c>
      <c r="CU9" t="e">
        <f>AND('Discovery-Processing-QC feature'!D307,"AAAAADr//mI=")</f>
        <v>#VALUE!</v>
      </c>
      <c r="CV9" t="e">
        <f>AND('Discovery-Processing-QC feature'!E307,"AAAAADr//mM=")</f>
        <v>#VALUE!</v>
      </c>
      <c r="CW9" t="e">
        <f>AND('Discovery-Processing-QC feature'!F307,"AAAAADr//mQ=")</f>
        <v>#VALUE!</v>
      </c>
      <c r="CX9">
        <f>IF('Discovery-Processing-QC feature'!308:308,"AAAAADr//mU=",0)</f>
        <v>0</v>
      </c>
      <c r="CY9" t="e">
        <f>AND('Discovery-Processing-QC feature'!A308,"AAAAADr//mY=")</f>
        <v>#VALUE!</v>
      </c>
      <c r="CZ9" t="e">
        <f>AND('Discovery-Processing-QC feature'!B308,"AAAAADr//mc=")</f>
        <v>#VALUE!</v>
      </c>
      <c r="DA9" t="e">
        <f>AND('Discovery-Processing-QC feature'!C308,"AAAAADr//mg=")</f>
        <v>#VALUE!</v>
      </c>
      <c r="DB9" t="e">
        <f>AND('Discovery-Processing-QC feature'!D308,"AAAAADr//mk=")</f>
        <v>#VALUE!</v>
      </c>
      <c r="DC9" t="e">
        <f>AND('Discovery-Processing-QC feature'!E308,"AAAAADr//mo=")</f>
        <v>#VALUE!</v>
      </c>
      <c r="DD9" t="e">
        <f>AND('Discovery-Processing-QC feature'!F308,"AAAAADr//ms=")</f>
        <v>#VALUE!</v>
      </c>
      <c r="DE9">
        <f>IF('Discovery-Processing-QC feature'!309:309,"AAAAADr//mw=",0)</f>
        <v>0</v>
      </c>
      <c r="DF9" t="e">
        <f>AND('Discovery-Processing-QC feature'!A309,"AAAAADr//m0=")</f>
        <v>#VALUE!</v>
      </c>
      <c r="DG9" t="e">
        <f>AND('Discovery-Processing-QC feature'!B309,"AAAAADr//m4=")</f>
        <v>#VALUE!</v>
      </c>
      <c r="DH9" t="e">
        <f>AND('Discovery-Processing-QC feature'!C309,"AAAAADr//m8=")</f>
        <v>#VALUE!</v>
      </c>
      <c r="DI9" t="e">
        <f>AND('Discovery-Processing-QC feature'!D309,"AAAAADr//nA=")</f>
        <v>#VALUE!</v>
      </c>
      <c r="DJ9" t="e">
        <f>AND('Discovery-Processing-QC feature'!E309,"AAAAADr//nE=")</f>
        <v>#VALUE!</v>
      </c>
      <c r="DK9" t="e">
        <f>AND('Discovery-Processing-QC feature'!F309,"AAAAADr//nI=")</f>
        <v>#VALUE!</v>
      </c>
      <c r="DL9">
        <f>IF('Discovery-Processing-QC feature'!310:310,"AAAAADr//nM=",0)</f>
        <v>0</v>
      </c>
      <c r="DM9" t="e">
        <f>AND('Discovery-Processing-QC feature'!A310,"AAAAADr//nQ=")</f>
        <v>#VALUE!</v>
      </c>
      <c r="DN9" t="e">
        <f>AND('Discovery-Processing-QC feature'!B310,"AAAAADr//nU=")</f>
        <v>#VALUE!</v>
      </c>
      <c r="DO9" t="e">
        <f>AND('Discovery-Processing-QC feature'!C310,"AAAAADr//nY=")</f>
        <v>#VALUE!</v>
      </c>
      <c r="DP9" t="e">
        <f>AND('Discovery-Processing-QC feature'!D310,"AAAAADr//nc=")</f>
        <v>#VALUE!</v>
      </c>
      <c r="DQ9" t="e">
        <f>AND('Discovery-Processing-QC feature'!E310,"AAAAADr//ng=")</f>
        <v>#VALUE!</v>
      </c>
      <c r="DR9" t="e">
        <f>AND('Discovery-Processing-QC feature'!F310,"AAAAADr//nk=")</f>
        <v>#VALUE!</v>
      </c>
      <c r="DS9">
        <f>IF('Discovery-Processing-QC feature'!311:311,"AAAAADr//no=",0)</f>
        <v>0</v>
      </c>
      <c r="DT9" t="e">
        <f>AND('Discovery-Processing-QC feature'!A311,"AAAAADr//ns=")</f>
        <v>#VALUE!</v>
      </c>
      <c r="DU9" t="e">
        <f>AND('Discovery-Processing-QC feature'!B311,"AAAAADr//nw=")</f>
        <v>#VALUE!</v>
      </c>
      <c r="DV9" t="e">
        <f>AND('Discovery-Processing-QC feature'!C311,"AAAAADr//n0=")</f>
        <v>#VALUE!</v>
      </c>
      <c r="DW9" t="e">
        <f>AND('Discovery-Processing-QC feature'!D311,"AAAAADr//n4=")</f>
        <v>#VALUE!</v>
      </c>
      <c r="DX9" t="e">
        <f>AND('Discovery-Processing-QC feature'!E311,"AAAAADr//n8=")</f>
        <v>#VALUE!</v>
      </c>
      <c r="DY9" t="e">
        <f>AND('Discovery-Processing-QC feature'!F311,"AAAAADr//oA=")</f>
        <v>#VALUE!</v>
      </c>
      <c r="DZ9">
        <f>IF('Discovery-Processing-QC feature'!312:312,"AAAAADr//oE=",0)</f>
        <v>0</v>
      </c>
      <c r="EA9" t="e">
        <f>AND('Discovery-Processing-QC feature'!A312,"AAAAADr//oI=")</f>
        <v>#VALUE!</v>
      </c>
      <c r="EB9" t="e">
        <f>AND('Discovery-Processing-QC feature'!B312,"AAAAADr//oM=")</f>
        <v>#VALUE!</v>
      </c>
      <c r="EC9" t="e">
        <f>AND('Discovery-Processing-QC feature'!C312,"AAAAADr//oQ=")</f>
        <v>#VALUE!</v>
      </c>
      <c r="ED9" t="e">
        <f>AND('Discovery-Processing-QC feature'!D312,"AAAAADr//oU=")</f>
        <v>#VALUE!</v>
      </c>
      <c r="EE9" t="e">
        <f>AND('Discovery-Processing-QC feature'!E312,"AAAAADr//oY=")</f>
        <v>#VALUE!</v>
      </c>
      <c r="EF9" t="e">
        <f>AND('Discovery-Processing-QC feature'!F312,"AAAAADr//oc=")</f>
        <v>#VALUE!</v>
      </c>
      <c r="EG9">
        <f>IF('Discovery-Processing-QC feature'!313:313,"AAAAADr//og=",0)</f>
        <v>0</v>
      </c>
      <c r="EH9" t="e">
        <f>AND('Discovery-Processing-QC feature'!A313,"AAAAADr//ok=")</f>
        <v>#VALUE!</v>
      </c>
      <c r="EI9" t="e">
        <f>AND('Discovery-Processing-QC feature'!B313,"AAAAADr//oo=")</f>
        <v>#VALUE!</v>
      </c>
      <c r="EJ9" t="e">
        <f>AND('Discovery-Processing-QC feature'!C313,"AAAAADr//os=")</f>
        <v>#VALUE!</v>
      </c>
      <c r="EK9" t="e">
        <f>AND('Discovery-Processing-QC feature'!D313,"AAAAADr//ow=")</f>
        <v>#VALUE!</v>
      </c>
      <c r="EL9" t="e">
        <f>AND('Discovery-Processing-QC feature'!E313,"AAAAADr//o0=")</f>
        <v>#VALUE!</v>
      </c>
      <c r="EM9" t="e">
        <f>AND('Discovery-Processing-QC feature'!F313,"AAAAADr//o4=")</f>
        <v>#VALUE!</v>
      </c>
      <c r="EN9">
        <f>IF('Discovery-Processing-QC feature'!314:314,"AAAAADr//o8=",0)</f>
        <v>0</v>
      </c>
      <c r="EO9" t="e">
        <f>AND('Discovery-Processing-QC feature'!A314,"AAAAADr//pA=")</f>
        <v>#VALUE!</v>
      </c>
      <c r="EP9" t="e">
        <f>AND('Discovery-Processing-QC feature'!B314,"AAAAADr//pE=")</f>
        <v>#VALUE!</v>
      </c>
      <c r="EQ9" t="e">
        <f>AND('Discovery-Processing-QC feature'!C314,"AAAAADr//pI=")</f>
        <v>#VALUE!</v>
      </c>
      <c r="ER9" t="e">
        <f>AND('Discovery-Processing-QC feature'!D314,"AAAAADr//pM=")</f>
        <v>#VALUE!</v>
      </c>
      <c r="ES9" t="e">
        <f>AND('Discovery-Processing-QC feature'!E314,"AAAAADr//pQ=")</f>
        <v>#VALUE!</v>
      </c>
      <c r="ET9" t="e">
        <f>AND('Discovery-Processing-QC feature'!F314,"AAAAADr//pU=")</f>
        <v>#VALUE!</v>
      </c>
      <c r="EU9">
        <f>IF('Discovery-Processing-QC feature'!315:315,"AAAAADr//pY=",0)</f>
        <v>0</v>
      </c>
      <c r="EV9" t="e">
        <f>AND('Discovery-Processing-QC feature'!A315,"AAAAADr//pc=")</f>
        <v>#VALUE!</v>
      </c>
      <c r="EW9" t="e">
        <f>AND('Discovery-Processing-QC feature'!B315,"AAAAADr//pg=")</f>
        <v>#VALUE!</v>
      </c>
      <c r="EX9" t="e">
        <f>AND('Discovery-Processing-QC feature'!C315,"AAAAADr//pk=")</f>
        <v>#VALUE!</v>
      </c>
      <c r="EY9" t="e">
        <f>AND('Discovery-Processing-QC feature'!D315,"AAAAADr//po=")</f>
        <v>#VALUE!</v>
      </c>
      <c r="EZ9" t="e">
        <f>AND('Discovery-Processing-QC feature'!E315,"AAAAADr//ps=")</f>
        <v>#VALUE!</v>
      </c>
      <c r="FA9" t="e">
        <f>AND('Discovery-Processing-QC feature'!F315,"AAAAADr//pw=")</f>
        <v>#VALUE!</v>
      </c>
      <c r="FB9">
        <f>IF('Discovery-Processing-QC feature'!316:316,"AAAAADr//p0=",0)</f>
        <v>0</v>
      </c>
      <c r="FC9" t="e">
        <f>AND('Discovery-Processing-QC feature'!A316,"AAAAADr//p4=")</f>
        <v>#VALUE!</v>
      </c>
      <c r="FD9" t="e">
        <f>AND('Discovery-Processing-QC feature'!B316,"AAAAADr//p8=")</f>
        <v>#VALUE!</v>
      </c>
      <c r="FE9" t="e">
        <f>AND('Discovery-Processing-QC feature'!C316,"AAAAADr//qA=")</f>
        <v>#VALUE!</v>
      </c>
      <c r="FF9" t="e">
        <f>AND('Discovery-Processing-QC feature'!D316,"AAAAADr//qE=")</f>
        <v>#VALUE!</v>
      </c>
      <c r="FG9" t="e">
        <f>AND('Discovery-Processing-QC feature'!E316,"AAAAADr//qI=")</f>
        <v>#VALUE!</v>
      </c>
      <c r="FH9" t="e">
        <f>AND('Discovery-Processing-QC feature'!F316,"AAAAADr//qM=")</f>
        <v>#VALUE!</v>
      </c>
      <c r="FI9">
        <f>IF('Discovery-Processing-QC feature'!317:317,"AAAAADr//qQ=",0)</f>
        <v>0</v>
      </c>
      <c r="FJ9" t="e">
        <f>AND('Discovery-Processing-QC feature'!A317,"AAAAADr//qU=")</f>
        <v>#VALUE!</v>
      </c>
      <c r="FK9" t="e">
        <f>AND('Discovery-Processing-QC feature'!B317,"AAAAADr//qY=")</f>
        <v>#VALUE!</v>
      </c>
      <c r="FL9" t="e">
        <f>AND('Discovery-Processing-QC feature'!C317,"AAAAADr//qc=")</f>
        <v>#VALUE!</v>
      </c>
      <c r="FM9" t="e">
        <f>AND('Discovery-Processing-QC feature'!D317,"AAAAADr//qg=")</f>
        <v>#VALUE!</v>
      </c>
      <c r="FN9" t="e">
        <f>AND('Discovery-Processing-QC feature'!E317,"AAAAADr//qk=")</f>
        <v>#VALUE!</v>
      </c>
      <c r="FO9" t="e">
        <f>AND('Discovery-Processing-QC feature'!F317,"AAAAADr//qo=")</f>
        <v>#VALUE!</v>
      </c>
      <c r="FP9">
        <f>IF('Discovery-Processing-QC feature'!318:318,"AAAAADr//qs=",0)</f>
        <v>0</v>
      </c>
      <c r="FQ9" t="e">
        <f>AND('Discovery-Processing-QC feature'!A318,"AAAAADr//qw=")</f>
        <v>#VALUE!</v>
      </c>
      <c r="FR9" t="e">
        <f>AND('Discovery-Processing-QC feature'!B318,"AAAAADr//q0=")</f>
        <v>#VALUE!</v>
      </c>
      <c r="FS9" t="e">
        <f>AND('Discovery-Processing-QC feature'!C318,"AAAAADr//q4=")</f>
        <v>#VALUE!</v>
      </c>
      <c r="FT9" t="e">
        <f>AND('Discovery-Processing-QC feature'!D318,"AAAAADr//q8=")</f>
        <v>#VALUE!</v>
      </c>
      <c r="FU9" t="e">
        <f>AND('Discovery-Processing-QC feature'!E318,"AAAAADr//rA=")</f>
        <v>#VALUE!</v>
      </c>
      <c r="FV9" t="e">
        <f>AND('Discovery-Processing-QC feature'!F318,"AAAAADr//rE=")</f>
        <v>#VALUE!</v>
      </c>
      <c r="FW9">
        <f>IF('Discovery-Processing-QC feature'!319:319,"AAAAADr//rI=",0)</f>
        <v>0</v>
      </c>
      <c r="FX9" t="e">
        <f>AND('Discovery-Processing-QC feature'!A319,"AAAAADr//rM=")</f>
        <v>#VALUE!</v>
      </c>
      <c r="FY9" t="e">
        <f>AND('Discovery-Processing-QC feature'!B319,"AAAAADr//rQ=")</f>
        <v>#VALUE!</v>
      </c>
      <c r="FZ9" t="e">
        <f>AND('Discovery-Processing-QC feature'!C319,"AAAAADr//rU=")</f>
        <v>#VALUE!</v>
      </c>
      <c r="GA9" t="e">
        <f>AND('Discovery-Processing-QC feature'!D319,"AAAAADr//rY=")</f>
        <v>#VALUE!</v>
      </c>
      <c r="GB9" t="e">
        <f>AND('Discovery-Processing-QC feature'!E319,"AAAAADr//rc=")</f>
        <v>#VALUE!</v>
      </c>
      <c r="GC9" t="e">
        <f>AND('Discovery-Processing-QC feature'!F319,"AAAAADr//rg=")</f>
        <v>#VALUE!</v>
      </c>
      <c r="GD9">
        <f>IF('Discovery-Processing-QC feature'!320:320,"AAAAADr//rk=",0)</f>
        <v>0</v>
      </c>
      <c r="GE9" t="e">
        <f>AND('Discovery-Processing-QC feature'!A320,"AAAAADr//ro=")</f>
        <v>#VALUE!</v>
      </c>
      <c r="GF9" t="e">
        <f>AND('Discovery-Processing-QC feature'!B320,"AAAAADr//rs=")</f>
        <v>#VALUE!</v>
      </c>
      <c r="GG9" t="e">
        <f>AND('Discovery-Processing-QC feature'!C320,"AAAAADr//rw=")</f>
        <v>#VALUE!</v>
      </c>
      <c r="GH9" t="e">
        <f>AND('Discovery-Processing-QC feature'!D320,"AAAAADr//r0=")</f>
        <v>#VALUE!</v>
      </c>
      <c r="GI9" t="e">
        <f>AND('Discovery-Processing-QC feature'!E320,"AAAAADr//r4=")</f>
        <v>#VALUE!</v>
      </c>
      <c r="GJ9" t="e">
        <f>AND('Discovery-Processing-QC feature'!F320,"AAAAADr//r8=")</f>
        <v>#VALUE!</v>
      </c>
      <c r="GK9">
        <f>IF('Discovery-Processing-QC feature'!321:321,"AAAAADr//sA=",0)</f>
        <v>0</v>
      </c>
      <c r="GL9" t="e">
        <f>AND('Discovery-Processing-QC feature'!A321,"AAAAADr//sE=")</f>
        <v>#VALUE!</v>
      </c>
      <c r="GM9" t="e">
        <f>AND('Discovery-Processing-QC feature'!B321,"AAAAADr//sI=")</f>
        <v>#VALUE!</v>
      </c>
      <c r="GN9" t="e">
        <f>AND('Discovery-Processing-QC feature'!C321,"AAAAADr//sM=")</f>
        <v>#VALUE!</v>
      </c>
      <c r="GO9" t="e">
        <f>AND('Discovery-Processing-QC feature'!D321,"AAAAADr//sQ=")</f>
        <v>#VALUE!</v>
      </c>
      <c r="GP9" t="e">
        <f>AND('Discovery-Processing-QC feature'!E321,"AAAAADr//sU=")</f>
        <v>#VALUE!</v>
      </c>
      <c r="GQ9" t="e">
        <f>AND('Discovery-Processing-QC feature'!F321,"AAAAADr//sY=")</f>
        <v>#VALUE!</v>
      </c>
      <c r="GR9">
        <f>IF('Discovery-Processing-QC feature'!322:322,"AAAAADr//sc=",0)</f>
        <v>0</v>
      </c>
      <c r="GS9" t="e">
        <f>AND('Discovery-Processing-QC feature'!A322,"AAAAADr//sg=")</f>
        <v>#VALUE!</v>
      </c>
      <c r="GT9" t="e">
        <f>AND('Discovery-Processing-QC feature'!B322,"AAAAADr//sk=")</f>
        <v>#VALUE!</v>
      </c>
      <c r="GU9" t="e">
        <f>AND('Discovery-Processing-QC feature'!C322,"AAAAADr//so=")</f>
        <v>#VALUE!</v>
      </c>
      <c r="GV9" t="e">
        <f>AND('Discovery-Processing-QC feature'!D322,"AAAAADr//ss=")</f>
        <v>#VALUE!</v>
      </c>
      <c r="GW9" t="e">
        <f>AND('Discovery-Processing-QC feature'!E322,"AAAAADr//sw=")</f>
        <v>#VALUE!</v>
      </c>
      <c r="GX9" t="e">
        <f>AND('Discovery-Processing-QC feature'!F322,"AAAAADr//s0=")</f>
        <v>#VALUE!</v>
      </c>
      <c r="GY9">
        <f>IF('Discovery-Processing-QC feature'!323:323,"AAAAADr//s4=",0)</f>
        <v>0</v>
      </c>
      <c r="GZ9" t="e">
        <f>AND('Discovery-Processing-QC feature'!A323,"AAAAADr//s8=")</f>
        <v>#VALUE!</v>
      </c>
      <c r="HA9" t="e">
        <f>AND('Discovery-Processing-QC feature'!B323,"AAAAADr//tA=")</f>
        <v>#VALUE!</v>
      </c>
      <c r="HB9" t="e">
        <f>AND('Discovery-Processing-QC feature'!C323,"AAAAADr//tE=")</f>
        <v>#VALUE!</v>
      </c>
      <c r="HC9" t="e">
        <f>AND('Discovery-Processing-QC feature'!D323,"AAAAADr//tI=")</f>
        <v>#VALUE!</v>
      </c>
      <c r="HD9" t="e">
        <f>AND('Discovery-Processing-QC feature'!E323,"AAAAADr//tM=")</f>
        <v>#VALUE!</v>
      </c>
      <c r="HE9" t="e">
        <f>AND('Discovery-Processing-QC feature'!F323,"AAAAADr//tQ=")</f>
        <v>#VALUE!</v>
      </c>
      <c r="HF9">
        <f>IF('Discovery-Processing-QC feature'!324:324,"AAAAADr//tU=",0)</f>
        <v>0</v>
      </c>
      <c r="HG9" t="e">
        <f>AND('Discovery-Processing-QC feature'!A324,"AAAAADr//tY=")</f>
        <v>#VALUE!</v>
      </c>
      <c r="HH9" t="e">
        <f>AND('Discovery-Processing-QC feature'!B324,"AAAAADr//tc=")</f>
        <v>#VALUE!</v>
      </c>
      <c r="HI9" t="e">
        <f>AND('Discovery-Processing-QC feature'!C324,"AAAAADr//tg=")</f>
        <v>#VALUE!</v>
      </c>
      <c r="HJ9" t="e">
        <f>AND('Discovery-Processing-QC feature'!D324,"AAAAADr//tk=")</f>
        <v>#VALUE!</v>
      </c>
      <c r="HK9" t="e">
        <f>AND('Discovery-Processing-QC feature'!E324,"AAAAADr//to=")</f>
        <v>#VALUE!</v>
      </c>
      <c r="HL9" t="e">
        <f>AND('Discovery-Processing-QC feature'!F324,"AAAAADr//ts=")</f>
        <v>#VALUE!</v>
      </c>
      <c r="HM9">
        <f>IF('Discovery-Processing-QC feature'!325:325,"AAAAADr//tw=",0)</f>
        <v>0</v>
      </c>
      <c r="HN9" t="e">
        <f>AND('Discovery-Processing-QC feature'!A325,"AAAAADr//t0=")</f>
        <v>#VALUE!</v>
      </c>
      <c r="HO9" t="e">
        <f>AND('Discovery-Processing-QC feature'!B325,"AAAAADr//t4=")</f>
        <v>#VALUE!</v>
      </c>
      <c r="HP9" t="e">
        <f>AND('Discovery-Processing-QC feature'!C325,"AAAAADr//t8=")</f>
        <v>#VALUE!</v>
      </c>
      <c r="HQ9" t="e">
        <f>AND('Discovery-Processing-QC feature'!D325,"AAAAADr//uA=")</f>
        <v>#VALUE!</v>
      </c>
      <c r="HR9" t="e">
        <f>AND('Discovery-Processing-QC feature'!E325,"AAAAADr//uE=")</f>
        <v>#VALUE!</v>
      </c>
      <c r="HS9" t="e">
        <f>AND('Discovery-Processing-QC feature'!F325,"AAAAADr//uI=")</f>
        <v>#VALUE!</v>
      </c>
      <c r="HT9">
        <f>IF('Discovery-Processing-QC feature'!326:326,"AAAAADr//uM=",0)</f>
        <v>0</v>
      </c>
      <c r="HU9" t="e">
        <f>AND('Discovery-Processing-QC feature'!A326,"AAAAADr//uQ=")</f>
        <v>#VALUE!</v>
      </c>
      <c r="HV9" t="e">
        <f>AND('Discovery-Processing-QC feature'!B326,"AAAAADr//uU=")</f>
        <v>#VALUE!</v>
      </c>
      <c r="HW9" t="e">
        <f>AND('Discovery-Processing-QC feature'!C326,"AAAAADr//uY=")</f>
        <v>#VALUE!</v>
      </c>
      <c r="HX9" t="e">
        <f>AND('Discovery-Processing-QC feature'!D326,"AAAAADr//uc=")</f>
        <v>#VALUE!</v>
      </c>
      <c r="HY9" t="e">
        <f>AND('Discovery-Processing-QC feature'!E326,"AAAAADr//ug=")</f>
        <v>#VALUE!</v>
      </c>
      <c r="HZ9" t="e">
        <f>AND('Discovery-Processing-QC feature'!F326,"AAAAADr//uk=")</f>
        <v>#VALUE!</v>
      </c>
      <c r="IA9">
        <f>IF('Discovery-Processing-QC feature'!327:327,"AAAAADr//uo=",0)</f>
        <v>0</v>
      </c>
      <c r="IB9" t="e">
        <f>AND('Discovery-Processing-QC feature'!A327,"AAAAADr//us=")</f>
        <v>#VALUE!</v>
      </c>
      <c r="IC9" t="e">
        <f>AND('Discovery-Processing-QC feature'!B327,"AAAAADr//uw=")</f>
        <v>#VALUE!</v>
      </c>
      <c r="ID9" t="e">
        <f>AND('Discovery-Processing-QC feature'!C327,"AAAAADr//u0=")</f>
        <v>#VALUE!</v>
      </c>
      <c r="IE9" t="e">
        <f>AND('Discovery-Processing-QC feature'!D327,"AAAAADr//u4=")</f>
        <v>#VALUE!</v>
      </c>
      <c r="IF9" t="e">
        <f>AND('Discovery-Processing-QC feature'!E327,"AAAAADr//u8=")</f>
        <v>#VALUE!</v>
      </c>
      <c r="IG9" t="e">
        <f>AND('Discovery-Processing-QC feature'!F327,"AAAAADr//vA=")</f>
        <v>#VALUE!</v>
      </c>
      <c r="IH9">
        <f>IF('Discovery-Processing-QC feature'!328:328,"AAAAADr//vE=",0)</f>
        <v>0</v>
      </c>
      <c r="II9" t="e">
        <f>AND('Discovery-Processing-QC feature'!A328,"AAAAADr//vI=")</f>
        <v>#VALUE!</v>
      </c>
      <c r="IJ9" t="e">
        <f>AND('Discovery-Processing-QC feature'!B328,"AAAAADr//vM=")</f>
        <v>#VALUE!</v>
      </c>
      <c r="IK9" t="e">
        <f>AND('Discovery-Processing-QC feature'!C328,"AAAAADr//vQ=")</f>
        <v>#VALUE!</v>
      </c>
      <c r="IL9" t="e">
        <f>AND('Discovery-Processing-QC feature'!D328,"AAAAADr//vU=")</f>
        <v>#VALUE!</v>
      </c>
      <c r="IM9" t="e">
        <f>AND('Discovery-Processing-QC feature'!E328,"AAAAADr//vY=")</f>
        <v>#VALUE!</v>
      </c>
      <c r="IN9" t="e">
        <f>AND('Discovery-Processing-QC feature'!F328,"AAAAADr//vc=")</f>
        <v>#VALUE!</v>
      </c>
      <c r="IO9">
        <f>IF('Discovery-Processing-QC feature'!329:329,"AAAAADr//vg=",0)</f>
        <v>0</v>
      </c>
      <c r="IP9" t="e">
        <f>AND('Discovery-Processing-QC feature'!A329,"AAAAADr//vk=")</f>
        <v>#VALUE!</v>
      </c>
      <c r="IQ9" t="e">
        <f>AND('Discovery-Processing-QC feature'!B329,"AAAAADr//vo=")</f>
        <v>#VALUE!</v>
      </c>
      <c r="IR9" t="e">
        <f>AND('Discovery-Processing-QC feature'!C329,"AAAAADr//vs=")</f>
        <v>#VALUE!</v>
      </c>
      <c r="IS9" t="e">
        <f>AND('Discovery-Processing-QC feature'!D329,"AAAAADr//vw=")</f>
        <v>#VALUE!</v>
      </c>
      <c r="IT9" t="e">
        <f>AND('Discovery-Processing-QC feature'!E329,"AAAAADr//v0=")</f>
        <v>#VALUE!</v>
      </c>
      <c r="IU9" t="e">
        <f>AND('Discovery-Processing-QC feature'!F329,"AAAAADr//v4=")</f>
        <v>#VALUE!</v>
      </c>
      <c r="IV9">
        <f>IF('Discovery-Processing-QC feature'!330:330,"AAAAADr//v8=",0)</f>
        <v>0</v>
      </c>
    </row>
    <row r="10" spans="1:256" x14ac:dyDescent="0.2">
      <c r="A10" t="e">
        <f>AND('Discovery-Processing-QC feature'!A330,"AAAAAFf9fgA=")</f>
        <v>#VALUE!</v>
      </c>
      <c r="B10" t="e">
        <f>AND('Discovery-Processing-QC feature'!B330,"AAAAAFf9fgE=")</f>
        <v>#VALUE!</v>
      </c>
      <c r="C10" t="e">
        <f>AND('Discovery-Processing-QC feature'!C330,"AAAAAFf9fgI=")</f>
        <v>#VALUE!</v>
      </c>
      <c r="D10" t="e">
        <f>AND('Discovery-Processing-QC feature'!D330,"AAAAAFf9fgM=")</f>
        <v>#VALUE!</v>
      </c>
      <c r="E10" t="e">
        <f>AND('Discovery-Processing-QC feature'!E330,"AAAAAFf9fgQ=")</f>
        <v>#VALUE!</v>
      </c>
      <c r="F10" t="e">
        <f>AND('Discovery-Processing-QC feature'!F330,"AAAAAFf9fgU=")</f>
        <v>#VALUE!</v>
      </c>
      <c r="G10">
        <f>IF('Discovery-Processing-QC feature'!331:331,"AAAAAFf9fgY=",0)</f>
        <v>0</v>
      </c>
      <c r="H10" t="e">
        <f>AND('Discovery-Processing-QC feature'!A331,"AAAAAFf9fgc=")</f>
        <v>#VALUE!</v>
      </c>
      <c r="I10" t="e">
        <f>AND('Discovery-Processing-QC feature'!B331,"AAAAAFf9fgg=")</f>
        <v>#VALUE!</v>
      </c>
      <c r="J10" t="e">
        <f>AND('Discovery-Processing-QC feature'!C331,"AAAAAFf9fgk=")</f>
        <v>#VALUE!</v>
      </c>
      <c r="K10" t="e">
        <f>AND('Discovery-Processing-QC feature'!D331,"AAAAAFf9fgo=")</f>
        <v>#VALUE!</v>
      </c>
      <c r="L10" t="e">
        <f>AND('Discovery-Processing-QC feature'!E331,"AAAAAFf9fgs=")</f>
        <v>#VALUE!</v>
      </c>
      <c r="M10" t="e">
        <f>AND('Discovery-Processing-QC feature'!F331,"AAAAAFf9fgw=")</f>
        <v>#VALUE!</v>
      </c>
      <c r="N10">
        <f>IF('Discovery-Processing-QC feature'!332:332,"AAAAAFf9fg0=",0)</f>
        <v>0</v>
      </c>
      <c r="O10" t="e">
        <f>AND('Discovery-Processing-QC feature'!A332,"AAAAAFf9fg4=")</f>
        <v>#VALUE!</v>
      </c>
      <c r="P10" t="e">
        <f>AND('Discovery-Processing-QC feature'!B332,"AAAAAFf9fg8=")</f>
        <v>#VALUE!</v>
      </c>
      <c r="Q10" t="e">
        <f>AND('Discovery-Processing-QC feature'!C332,"AAAAAFf9fhA=")</f>
        <v>#VALUE!</v>
      </c>
      <c r="R10" t="e">
        <f>AND('Discovery-Processing-QC feature'!D332,"AAAAAFf9fhE=")</f>
        <v>#VALUE!</v>
      </c>
      <c r="S10" t="e">
        <f>AND('Discovery-Processing-QC feature'!E332,"AAAAAFf9fhI=")</f>
        <v>#VALUE!</v>
      </c>
      <c r="T10" t="e">
        <f>AND('Discovery-Processing-QC feature'!F332,"AAAAAFf9fhM=")</f>
        <v>#VALUE!</v>
      </c>
      <c r="U10">
        <f>IF('Discovery-Processing-QC feature'!333:333,"AAAAAFf9fhQ=",0)</f>
        <v>0</v>
      </c>
      <c r="V10" t="e">
        <f>AND('Discovery-Processing-QC feature'!A333,"AAAAAFf9fhU=")</f>
        <v>#VALUE!</v>
      </c>
      <c r="W10" t="e">
        <f>AND('Discovery-Processing-QC feature'!B333,"AAAAAFf9fhY=")</f>
        <v>#VALUE!</v>
      </c>
      <c r="X10" t="e">
        <f>AND('Discovery-Processing-QC feature'!C333,"AAAAAFf9fhc=")</f>
        <v>#VALUE!</v>
      </c>
      <c r="Y10" t="e">
        <f>AND('Discovery-Processing-QC feature'!D333,"AAAAAFf9fhg=")</f>
        <v>#VALUE!</v>
      </c>
      <c r="Z10" t="e">
        <f>AND('Discovery-Processing-QC feature'!E333,"AAAAAFf9fhk=")</f>
        <v>#VALUE!</v>
      </c>
      <c r="AA10" t="e">
        <f>AND('Discovery-Processing-QC feature'!F333,"AAAAAFf9fho=")</f>
        <v>#VALUE!</v>
      </c>
      <c r="AB10">
        <f>IF('Discovery-Processing-QC feature'!334:334,"AAAAAFf9fhs=",0)</f>
        <v>0</v>
      </c>
      <c r="AC10" t="e">
        <f>AND('Discovery-Processing-QC feature'!A334,"AAAAAFf9fhw=")</f>
        <v>#VALUE!</v>
      </c>
      <c r="AD10" t="e">
        <f>AND('Discovery-Processing-QC feature'!B334,"AAAAAFf9fh0=")</f>
        <v>#VALUE!</v>
      </c>
      <c r="AE10" t="e">
        <f>AND('Discovery-Processing-QC feature'!C334,"AAAAAFf9fh4=")</f>
        <v>#VALUE!</v>
      </c>
      <c r="AF10" t="e">
        <f>AND('Discovery-Processing-QC feature'!D334,"AAAAAFf9fh8=")</f>
        <v>#VALUE!</v>
      </c>
      <c r="AG10" t="e">
        <f>AND('Discovery-Processing-QC feature'!E334,"AAAAAFf9fiA=")</f>
        <v>#VALUE!</v>
      </c>
      <c r="AH10" t="e">
        <f>AND('Discovery-Processing-QC feature'!F334,"AAAAAFf9fiE=")</f>
        <v>#VALUE!</v>
      </c>
      <c r="AI10">
        <f>IF('Discovery-Processing-QC feature'!335:335,"AAAAAFf9fiI=",0)</f>
        <v>0</v>
      </c>
      <c r="AJ10" t="e">
        <f>AND('Discovery-Processing-QC feature'!A335,"AAAAAFf9fiM=")</f>
        <v>#VALUE!</v>
      </c>
      <c r="AK10" t="e">
        <f>AND('Discovery-Processing-QC feature'!B335,"AAAAAFf9fiQ=")</f>
        <v>#VALUE!</v>
      </c>
      <c r="AL10" t="e">
        <f>AND('Discovery-Processing-QC feature'!C335,"AAAAAFf9fiU=")</f>
        <v>#VALUE!</v>
      </c>
      <c r="AM10" t="e">
        <f>AND('Discovery-Processing-QC feature'!D335,"AAAAAFf9fiY=")</f>
        <v>#VALUE!</v>
      </c>
      <c r="AN10" t="e">
        <f>AND('Discovery-Processing-QC feature'!E335,"AAAAAFf9fic=")</f>
        <v>#VALUE!</v>
      </c>
      <c r="AO10" t="e">
        <f>AND('Discovery-Processing-QC feature'!F335,"AAAAAFf9fig=")</f>
        <v>#VALUE!</v>
      </c>
      <c r="AP10">
        <f>IF('Discovery-Processing-QC feature'!336:336,"AAAAAFf9fik=",0)</f>
        <v>0</v>
      </c>
      <c r="AQ10" t="e">
        <f>AND('Discovery-Processing-QC feature'!A336,"AAAAAFf9fio=")</f>
        <v>#VALUE!</v>
      </c>
      <c r="AR10" t="e">
        <f>AND('Discovery-Processing-QC feature'!B336,"AAAAAFf9fis=")</f>
        <v>#VALUE!</v>
      </c>
      <c r="AS10" t="e">
        <f>AND('Discovery-Processing-QC feature'!C336,"AAAAAFf9fiw=")</f>
        <v>#VALUE!</v>
      </c>
      <c r="AT10" t="e">
        <f>AND('Discovery-Processing-QC feature'!D336,"AAAAAFf9fi0=")</f>
        <v>#VALUE!</v>
      </c>
      <c r="AU10" t="e">
        <f>AND('Discovery-Processing-QC feature'!E336,"AAAAAFf9fi4=")</f>
        <v>#VALUE!</v>
      </c>
      <c r="AV10" t="e">
        <f>AND('Discovery-Processing-QC feature'!F336,"AAAAAFf9fi8=")</f>
        <v>#VALUE!</v>
      </c>
      <c r="AW10">
        <f>IF('Discovery-Processing-QC feature'!337:337,"AAAAAFf9fjA=",0)</f>
        <v>0</v>
      </c>
      <c r="AX10" t="e">
        <f>AND('Discovery-Processing-QC feature'!A337,"AAAAAFf9fjE=")</f>
        <v>#VALUE!</v>
      </c>
      <c r="AY10" t="e">
        <f>AND('Discovery-Processing-QC feature'!B337,"AAAAAFf9fjI=")</f>
        <v>#VALUE!</v>
      </c>
      <c r="AZ10" t="e">
        <f>AND('Discovery-Processing-QC feature'!C337,"AAAAAFf9fjM=")</f>
        <v>#VALUE!</v>
      </c>
      <c r="BA10" t="e">
        <f>AND('Discovery-Processing-QC feature'!D337,"AAAAAFf9fjQ=")</f>
        <v>#VALUE!</v>
      </c>
      <c r="BB10" t="e">
        <f>AND('Discovery-Processing-QC feature'!E337,"AAAAAFf9fjU=")</f>
        <v>#VALUE!</v>
      </c>
      <c r="BC10" t="e">
        <f>AND('Discovery-Processing-QC feature'!F337,"AAAAAFf9fjY=")</f>
        <v>#VALUE!</v>
      </c>
      <c r="BD10">
        <f>IF('Discovery-Processing-QC feature'!338:338,"AAAAAFf9fjc=",0)</f>
        <v>0</v>
      </c>
      <c r="BE10" t="e">
        <f>AND('Discovery-Processing-QC feature'!A338,"AAAAAFf9fjg=")</f>
        <v>#VALUE!</v>
      </c>
      <c r="BF10" t="e">
        <f>AND('Discovery-Processing-QC feature'!B338,"AAAAAFf9fjk=")</f>
        <v>#VALUE!</v>
      </c>
      <c r="BG10" t="e">
        <f>AND('Discovery-Processing-QC feature'!C338,"AAAAAFf9fjo=")</f>
        <v>#VALUE!</v>
      </c>
      <c r="BH10" t="e">
        <f>AND('Discovery-Processing-QC feature'!D338,"AAAAAFf9fjs=")</f>
        <v>#VALUE!</v>
      </c>
      <c r="BI10" t="e">
        <f>AND('Discovery-Processing-QC feature'!E338,"AAAAAFf9fjw=")</f>
        <v>#VALUE!</v>
      </c>
      <c r="BJ10" t="e">
        <f>AND('Discovery-Processing-QC feature'!F338,"AAAAAFf9fj0=")</f>
        <v>#VALUE!</v>
      </c>
      <c r="BK10">
        <f>IF('Discovery-Processing-QC feature'!339:339,"AAAAAFf9fj4=",0)</f>
        <v>0</v>
      </c>
      <c r="BL10" t="e">
        <f>AND('Discovery-Processing-QC feature'!A339,"AAAAAFf9fj8=")</f>
        <v>#VALUE!</v>
      </c>
      <c r="BM10" t="e">
        <f>AND('Discovery-Processing-QC feature'!B339,"AAAAAFf9fkA=")</f>
        <v>#VALUE!</v>
      </c>
      <c r="BN10" t="e">
        <f>AND('Discovery-Processing-QC feature'!C339,"AAAAAFf9fkE=")</f>
        <v>#VALUE!</v>
      </c>
      <c r="BO10" t="e">
        <f>AND('Discovery-Processing-QC feature'!D339,"AAAAAFf9fkI=")</f>
        <v>#VALUE!</v>
      </c>
      <c r="BP10" t="e">
        <f>AND('Discovery-Processing-QC feature'!E339,"AAAAAFf9fkM=")</f>
        <v>#VALUE!</v>
      </c>
      <c r="BQ10" t="e">
        <f>AND('Discovery-Processing-QC feature'!F339,"AAAAAFf9fkQ=")</f>
        <v>#VALUE!</v>
      </c>
      <c r="BR10">
        <f>IF('Discovery-Processing-QC feature'!340:340,"AAAAAFf9fkU=",0)</f>
        <v>0</v>
      </c>
      <c r="BS10" t="e">
        <f>AND('Discovery-Processing-QC feature'!A340,"AAAAAFf9fkY=")</f>
        <v>#VALUE!</v>
      </c>
      <c r="BT10" t="e">
        <f>AND('Discovery-Processing-QC feature'!B340,"AAAAAFf9fkc=")</f>
        <v>#VALUE!</v>
      </c>
      <c r="BU10" t="e">
        <f>AND('Discovery-Processing-QC feature'!C340,"AAAAAFf9fkg=")</f>
        <v>#VALUE!</v>
      </c>
      <c r="BV10" t="e">
        <f>AND('Discovery-Processing-QC feature'!D340,"AAAAAFf9fkk=")</f>
        <v>#VALUE!</v>
      </c>
      <c r="BW10" t="e">
        <f>AND('Discovery-Processing-QC feature'!E340,"AAAAAFf9fko=")</f>
        <v>#VALUE!</v>
      </c>
      <c r="BX10" t="e">
        <f>AND('Discovery-Processing-QC feature'!F340,"AAAAAFf9fks=")</f>
        <v>#VALUE!</v>
      </c>
      <c r="BY10">
        <f>IF('Discovery-Processing-QC feature'!341:341,"AAAAAFf9fkw=",0)</f>
        <v>0</v>
      </c>
      <c r="BZ10" t="e">
        <f>AND('Discovery-Processing-QC feature'!A341,"AAAAAFf9fk0=")</f>
        <v>#VALUE!</v>
      </c>
      <c r="CA10" t="e">
        <f>AND('Discovery-Processing-QC feature'!B341,"AAAAAFf9fk4=")</f>
        <v>#VALUE!</v>
      </c>
      <c r="CB10" t="e">
        <f>AND('Discovery-Processing-QC feature'!C341,"AAAAAFf9fk8=")</f>
        <v>#VALUE!</v>
      </c>
      <c r="CC10" t="e">
        <f>AND('Discovery-Processing-QC feature'!D341,"AAAAAFf9flA=")</f>
        <v>#VALUE!</v>
      </c>
      <c r="CD10" t="e">
        <f>AND('Discovery-Processing-QC feature'!E341,"AAAAAFf9flE=")</f>
        <v>#VALUE!</v>
      </c>
      <c r="CE10" t="e">
        <f>AND('Discovery-Processing-QC feature'!F341,"AAAAAFf9flI=")</f>
        <v>#VALUE!</v>
      </c>
      <c r="CF10">
        <f>IF('Discovery-Processing-QC feature'!342:342,"AAAAAFf9flM=",0)</f>
        <v>0</v>
      </c>
      <c r="CG10" t="e">
        <f>AND('Discovery-Processing-QC feature'!A342,"AAAAAFf9flQ=")</f>
        <v>#VALUE!</v>
      </c>
      <c r="CH10" t="e">
        <f>AND('Discovery-Processing-QC feature'!B342,"AAAAAFf9flU=")</f>
        <v>#VALUE!</v>
      </c>
      <c r="CI10" t="e">
        <f>AND('Discovery-Processing-QC feature'!C342,"AAAAAFf9flY=")</f>
        <v>#VALUE!</v>
      </c>
      <c r="CJ10" t="e">
        <f>AND('Discovery-Processing-QC feature'!D342,"AAAAAFf9flc=")</f>
        <v>#VALUE!</v>
      </c>
      <c r="CK10" t="e">
        <f>AND('Discovery-Processing-QC feature'!E342,"AAAAAFf9flg=")</f>
        <v>#VALUE!</v>
      </c>
      <c r="CL10" t="e">
        <f>AND('Discovery-Processing-QC feature'!F342,"AAAAAFf9flk=")</f>
        <v>#VALUE!</v>
      </c>
      <c r="CM10">
        <f>IF('Discovery-Processing-QC feature'!343:343,"AAAAAFf9flo=",0)</f>
        <v>0</v>
      </c>
      <c r="CN10" t="e">
        <f>AND('Discovery-Processing-QC feature'!A343,"AAAAAFf9fls=")</f>
        <v>#VALUE!</v>
      </c>
      <c r="CO10" t="e">
        <f>AND('Discovery-Processing-QC feature'!B343,"AAAAAFf9flw=")</f>
        <v>#VALUE!</v>
      </c>
      <c r="CP10" t="e">
        <f>AND('Discovery-Processing-QC feature'!C343,"AAAAAFf9fl0=")</f>
        <v>#VALUE!</v>
      </c>
      <c r="CQ10" t="e">
        <f>AND('Discovery-Processing-QC feature'!D343,"AAAAAFf9fl4=")</f>
        <v>#VALUE!</v>
      </c>
      <c r="CR10" t="e">
        <f>AND('Discovery-Processing-QC feature'!E343,"AAAAAFf9fl8=")</f>
        <v>#VALUE!</v>
      </c>
      <c r="CS10" t="e">
        <f>AND('Discovery-Processing-QC feature'!F343,"AAAAAFf9fmA=")</f>
        <v>#VALUE!</v>
      </c>
      <c r="CT10">
        <f>IF('Discovery-Processing-QC feature'!344:344,"AAAAAFf9fmE=",0)</f>
        <v>0</v>
      </c>
      <c r="CU10" t="e">
        <f>AND('Discovery-Processing-QC feature'!A344,"AAAAAFf9fmI=")</f>
        <v>#VALUE!</v>
      </c>
      <c r="CV10" t="e">
        <f>AND('Discovery-Processing-QC feature'!B344,"AAAAAFf9fmM=")</f>
        <v>#VALUE!</v>
      </c>
      <c r="CW10" t="e">
        <f>AND('Discovery-Processing-QC feature'!C344,"AAAAAFf9fmQ=")</f>
        <v>#VALUE!</v>
      </c>
      <c r="CX10" t="e">
        <f>AND('Discovery-Processing-QC feature'!D344,"AAAAAFf9fmU=")</f>
        <v>#VALUE!</v>
      </c>
      <c r="CY10" t="e">
        <f>AND('Discovery-Processing-QC feature'!E344,"AAAAAFf9fmY=")</f>
        <v>#VALUE!</v>
      </c>
      <c r="CZ10" t="e">
        <f>AND('Discovery-Processing-QC feature'!F344,"AAAAAFf9fmc=")</f>
        <v>#VALUE!</v>
      </c>
      <c r="DA10">
        <f>IF('Discovery-Processing-QC feature'!345:345,"AAAAAFf9fmg=",0)</f>
        <v>0</v>
      </c>
      <c r="DB10" t="e">
        <f>AND('Discovery-Processing-QC feature'!A345,"AAAAAFf9fmk=")</f>
        <v>#VALUE!</v>
      </c>
      <c r="DC10" t="e">
        <f>AND('Discovery-Processing-QC feature'!B345,"AAAAAFf9fmo=")</f>
        <v>#VALUE!</v>
      </c>
      <c r="DD10" t="e">
        <f>AND('Discovery-Processing-QC feature'!C345,"AAAAAFf9fms=")</f>
        <v>#VALUE!</v>
      </c>
      <c r="DE10" t="e">
        <f>AND('Discovery-Processing-QC feature'!D345,"AAAAAFf9fmw=")</f>
        <v>#VALUE!</v>
      </c>
      <c r="DF10" t="e">
        <f>AND('Discovery-Processing-QC feature'!E345,"AAAAAFf9fm0=")</f>
        <v>#VALUE!</v>
      </c>
      <c r="DG10" t="e">
        <f>AND('Discovery-Processing-QC feature'!F345,"AAAAAFf9fm4=")</f>
        <v>#VALUE!</v>
      </c>
      <c r="DH10">
        <f>IF('Discovery-Processing-QC feature'!346:346,"AAAAAFf9fm8=",0)</f>
        <v>0</v>
      </c>
      <c r="DI10" t="e">
        <f>AND('Discovery-Processing-QC feature'!A346,"AAAAAFf9fnA=")</f>
        <v>#VALUE!</v>
      </c>
      <c r="DJ10" t="e">
        <f>AND('Discovery-Processing-QC feature'!B346,"AAAAAFf9fnE=")</f>
        <v>#VALUE!</v>
      </c>
      <c r="DK10" t="e">
        <f>AND('Discovery-Processing-QC feature'!C346,"AAAAAFf9fnI=")</f>
        <v>#VALUE!</v>
      </c>
      <c r="DL10" t="e">
        <f>AND('Discovery-Processing-QC feature'!D346,"AAAAAFf9fnM=")</f>
        <v>#VALUE!</v>
      </c>
      <c r="DM10" t="e">
        <f>AND('Discovery-Processing-QC feature'!E346,"AAAAAFf9fnQ=")</f>
        <v>#VALUE!</v>
      </c>
      <c r="DN10" t="e">
        <f>AND('Discovery-Processing-QC feature'!F346,"AAAAAFf9fnU=")</f>
        <v>#VALUE!</v>
      </c>
      <c r="DO10">
        <f>IF('Discovery-Processing-QC feature'!347:347,"AAAAAFf9fnY=",0)</f>
        <v>0</v>
      </c>
      <c r="DP10" t="e">
        <f>AND('Discovery-Processing-QC feature'!A347,"AAAAAFf9fnc=")</f>
        <v>#VALUE!</v>
      </c>
      <c r="DQ10" t="e">
        <f>AND('Discovery-Processing-QC feature'!B347,"AAAAAFf9fng=")</f>
        <v>#VALUE!</v>
      </c>
      <c r="DR10" t="e">
        <f>AND('Discovery-Processing-QC feature'!C347,"AAAAAFf9fnk=")</f>
        <v>#VALUE!</v>
      </c>
      <c r="DS10" t="e">
        <f>AND('Discovery-Processing-QC feature'!D347,"AAAAAFf9fno=")</f>
        <v>#VALUE!</v>
      </c>
      <c r="DT10" t="e">
        <f>AND('Discovery-Processing-QC feature'!E347,"AAAAAFf9fns=")</f>
        <v>#VALUE!</v>
      </c>
      <c r="DU10" t="e">
        <f>AND('Discovery-Processing-QC feature'!F347,"AAAAAFf9fnw=")</f>
        <v>#VALUE!</v>
      </c>
      <c r="DV10">
        <f>IF('Discovery-Processing-QC feature'!348:348,"AAAAAFf9fn0=",0)</f>
        <v>0</v>
      </c>
      <c r="DW10" t="e">
        <f>AND('Discovery-Processing-QC feature'!A348,"AAAAAFf9fn4=")</f>
        <v>#VALUE!</v>
      </c>
      <c r="DX10" t="e">
        <f>AND('Discovery-Processing-QC feature'!B348,"AAAAAFf9fn8=")</f>
        <v>#VALUE!</v>
      </c>
      <c r="DY10" t="e">
        <f>AND('Discovery-Processing-QC feature'!C348,"AAAAAFf9foA=")</f>
        <v>#VALUE!</v>
      </c>
      <c r="DZ10" t="e">
        <f>AND('Discovery-Processing-QC feature'!D348,"AAAAAFf9foE=")</f>
        <v>#VALUE!</v>
      </c>
      <c r="EA10" t="e">
        <f>AND('Discovery-Processing-QC feature'!E348,"AAAAAFf9foI=")</f>
        <v>#VALUE!</v>
      </c>
      <c r="EB10" t="e">
        <f>AND('Discovery-Processing-QC feature'!F348,"AAAAAFf9foM=")</f>
        <v>#VALUE!</v>
      </c>
      <c r="EC10">
        <f>IF('Discovery-Processing-QC feature'!349:349,"AAAAAFf9foQ=",0)</f>
        <v>0</v>
      </c>
      <c r="ED10" t="e">
        <f>AND('Discovery-Processing-QC feature'!A349,"AAAAAFf9foU=")</f>
        <v>#VALUE!</v>
      </c>
      <c r="EE10" t="e">
        <f>AND('Discovery-Processing-QC feature'!B349,"AAAAAFf9foY=")</f>
        <v>#VALUE!</v>
      </c>
      <c r="EF10" t="e">
        <f>AND('Discovery-Processing-QC feature'!C349,"AAAAAFf9foc=")</f>
        <v>#VALUE!</v>
      </c>
      <c r="EG10" t="e">
        <f>AND('Discovery-Processing-QC feature'!D349,"AAAAAFf9fog=")</f>
        <v>#VALUE!</v>
      </c>
      <c r="EH10" t="e">
        <f>AND('Discovery-Processing-QC feature'!E349,"AAAAAFf9fok=")</f>
        <v>#VALUE!</v>
      </c>
      <c r="EI10" t="e">
        <f>AND('Discovery-Processing-QC feature'!F349,"AAAAAFf9foo=")</f>
        <v>#VALUE!</v>
      </c>
      <c r="EJ10">
        <f>IF('Discovery-Processing-QC feature'!350:350,"AAAAAFf9fos=",0)</f>
        <v>0</v>
      </c>
      <c r="EK10" t="e">
        <f>AND('Discovery-Processing-QC feature'!A350,"AAAAAFf9fow=")</f>
        <v>#VALUE!</v>
      </c>
      <c r="EL10" t="e">
        <f>AND('Discovery-Processing-QC feature'!B350,"AAAAAFf9fo0=")</f>
        <v>#VALUE!</v>
      </c>
      <c r="EM10" t="e">
        <f>AND('Discovery-Processing-QC feature'!C350,"AAAAAFf9fo4=")</f>
        <v>#VALUE!</v>
      </c>
      <c r="EN10" t="e">
        <f>AND('Discovery-Processing-QC feature'!D350,"AAAAAFf9fo8=")</f>
        <v>#VALUE!</v>
      </c>
      <c r="EO10" t="e">
        <f>AND('Discovery-Processing-QC feature'!E350,"AAAAAFf9fpA=")</f>
        <v>#VALUE!</v>
      </c>
      <c r="EP10" t="e">
        <f>AND('Discovery-Processing-QC feature'!F350,"AAAAAFf9fpE=")</f>
        <v>#VALUE!</v>
      </c>
      <c r="EQ10">
        <f>IF('Discovery-Processing-QC feature'!351:351,"AAAAAFf9fpI=",0)</f>
        <v>0</v>
      </c>
      <c r="ER10" t="e">
        <f>AND('Discovery-Processing-QC feature'!A351,"AAAAAFf9fpM=")</f>
        <v>#VALUE!</v>
      </c>
      <c r="ES10" t="e">
        <f>AND('Discovery-Processing-QC feature'!B351,"AAAAAFf9fpQ=")</f>
        <v>#VALUE!</v>
      </c>
      <c r="ET10" t="e">
        <f>AND('Discovery-Processing-QC feature'!C351,"AAAAAFf9fpU=")</f>
        <v>#VALUE!</v>
      </c>
      <c r="EU10" t="e">
        <f>AND('Discovery-Processing-QC feature'!D351,"AAAAAFf9fpY=")</f>
        <v>#VALUE!</v>
      </c>
      <c r="EV10" t="e">
        <f>AND('Discovery-Processing-QC feature'!E351,"AAAAAFf9fpc=")</f>
        <v>#VALUE!</v>
      </c>
      <c r="EW10" t="e">
        <f>AND('Discovery-Processing-QC feature'!F351,"AAAAAFf9fpg=")</f>
        <v>#VALUE!</v>
      </c>
      <c r="EX10">
        <f>IF('Discovery-Processing-QC feature'!352:352,"AAAAAFf9fpk=",0)</f>
        <v>0</v>
      </c>
      <c r="EY10" t="e">
        <f>AND('Discovery-Processing-QC feature'!A352,"AAAAAFf9fpo=")</f>
        <v>#VALUE!</v>
      </c>
      <c r="EZ10" t="e">
        <f>AND('Discovery-Processing-QC feature'!B352,"AAAAAFf9fps=")</f>
        <v>#VALUE!</v>
      </c>
      <c r="FA10" t="e">
        <f>AND('Discovery-Processing-QC feature'!C352,"AAAAAFf9fpw=")</f>
        <v>#VALUE!</v>
      </c>
      <c r="FB10" t="e">
        <f>AND('Discovery-Processing-QC feature'!D352,"AAAAAFf9fp0=")</f>
        <v>#VALUE!</v>
      </c>
      <c r="FC10" t="e">
        <f>AND('Discovery-Processing-QC feature'!E352,"AAAAAFf9fp4=")</f>
        <v>#VALUE!</v>
      </c>
      <c r="FD10" t="e">
        <f>AND('Discovery-Processing-QC feature'!F352,"AAAAAFf9fp8=")</f>
        <v>#VALUE!</v>
      </c>
      <c r="FE10">
        <f>IF('Discovery-Processing-QC feature'!353:353,"AAAAAFf9fqA=",0)</f>
        <v>0</v>
      </c>
      <c r="FF10" t="e">
        <f>AND('Discovery-Processing-QC feature'!A353,"AAAAAFf9fqE=")</f>
        <v>#VALUE!</v>
      </c>
      <c r="FG10" t="e">
        <f>AND('Discovery-Processing-QC feature'!B353,"AAAAAFf9fqI=")</f>
        <v>#VALUE!</v>
      </c>
      <c r="FH10" t="e">
        <f>AND('Discovery-Processing-QC feature'!C353,"AAAAAFf9fqM=")</f>
        <v>#VALUE!</v>
      </c>
      <c r="FI10" t="e">
        <f>AND('Discovery-Processing-QC feature'!D353,"AAAAAFf9fqQ=")</f>
        <v>#VALUE!</v>
      </c>
      <c r="FJ10" t="e">
        <f>AND('Discovery-Processing-QC feature'!E353,"AAAAAFf9fqU=")</f>
        <v>#VALUE!</v>
      </c>
      <c r="FK10" t="e">
        <f>AND('Discovery-Processing-QC feature'!F353,"AAAAAFf9fqY=")</f>
        <v>#VALUE!</v>
      </c>
      <c r="FL10">
        <f>IF('Discovery-Processing-QC feature'!354:354,"AAAAAFf9fqc=",0)</f>
        <v>0</v>
      </c>
      <c r="FM10" t="e">
        <f>AND('Discovery-Processing-QC feature'!A354,"AAAAAFf9fqg=")</f>
        <v>#VALUE!</v>
      </c>
      <c r="FN10" t="e">
        <f>AND('Discovery-Processing-QC feature'!B354,"AAAAAFf9fqk=")</f>
        <v>#VALUE!</v>
      </c>
      <c r="FO10" t="e">
        <f>AND('Discovery-Processing-QC feature'!C354,"AAAAAFf9fqo=")</f>
        <v>#VALUE!</v>
      </c>
      <c r="FP10" t="e">
        <f>AND('Discovery-Processing-QC feature'!D354,"AAAAAFf9fqs=")</f>
        <v>#VALUE!</v>
      </c>
      <c r="FQ10" t="e">
        <f>AND('Discovery-Processing-QC feature'!E354,"AAAAAFf9fqw=")</f>
        <v>#VALUE!</v>
      </c>
      <c r="FR10" t="e">
        <f>AND('Discovery-Processing-QC feature'!F354,"AAAAAFf9fq0=")</f>
        <v>#VALUE!</v>
      </c>
      <c r="FS10">
        <f>IF('Discovery-Processing-QC feature'!355:355,"AAAAAFf9fq4=",0)</f>
        <v>0</v>
      </c>
      <c r="FT10" t="e">
        <f>AND('Discovery-Processing-QC feature'!A355,"AAAAAFf9fq8=")</f>
        <v>#VALUE!</v>
      </c>
      <c r="FU10" t="e">
        <f>AND('Discovery-Processing-QC feature'!B355,"AAAAAFf9frA=")</f>
        <v>#VALUE!</v>
      </c>
      <c r="FV10" t="e">
        <f>AND('Discovery-Processing-QC feature'!C355,"AAAAAFf9frE=")</f>
        <v>#VALUE!</v>
      </c>
      <c r="FW10" t="e">
        <f>AND('Discovery-Processing-QC feature'!D355,"AAAAAFf9frI=")</f>
        <v>#VALUE!</v>
      </c>
      <c r="FX10" t="e">
        <f>AND('Discovery-Processing-QC feature'!E355,"AAAAAFf9frM=")</f>
        <v>#VALUE!</v>
      </c>
      <c r="FY10" t="e">
        <f>AND('Discovery-Processing-QC feature'!F355,"AAAAAFf9frQ=")</f>
        <v>#VALUE!</v>
      </c>
      <c r="FZ10">
        <f>IF('Discovery-Processing-QC feature'!356:356,"AAAAAFf9frU=",0)</f>
        <v>0</v>
      </c>
      <c r="GA10" t="e">
        <f>AND('Discovery-Processing-QC feature'!A356,"AAAAAFf9frY=")</f>
        <v>#VALUE!</v>
      </c>
      <c r="GB10" t="e">
        <f>AND('Discovery-Processing-QC feature'!B356,"AAAAAFf9frc=")</f>
        <v>#VALUE!</v>
      </c>
      <c r="GC10" t="e">
        <f>AND('Discovery-Processing-QC feature'!C356,"AAAAAFf9frg=")</f>
        <v>#VALUE!</v>
      </c>
      <c r="GD10" t="e">
        <f>AND('Discovery-Processing-QC feature'!D356,"AAAAAFf9frk=")</f>
        <v>#VALUE!</v>
      </c>
      <c r="GE10" t="e">
        <f>AND('Discovery-Processing-QC feature'!E356,"AAAAAFf9fro=")</f>
        <v>#VALUE!</v>
      </c>
      <c r="GF10" t="e">
        <f>AND('Discovery-Processing-QC feature'!F356,"AAAAAFf9frs=")</f>
        <v>#VALUE!</v>
      </c>
      <c r="GG10">
        <f>IF('Discovery-Processing-QC feature'!357:357,"AAAAAFf9frw=",0)</f>
        <v>0</v>
      </c>
      <c r="GH10" t="e">
        <f>AND('Discovery-Processing-QC feature'!A357,"AAAAAFf9fr0=")</f>
        <v>#VALUE!</v>
      </c>
      <c r="GI10" t="e">
        <f>AND('Discovery-Processing-QC feature'!B357,"AAAAAFf9fr4=")</f>
        <v>#VALUE!</v>
      </c>
      <c r="GJ10" t="e">
        <f>AND('Discovery-Processing-QC feature'!C357,"AAAAAFf9fr8=")</f>
        <v>#VALUE!</v>
      </c>
      <c r="GK10" t="e">
        <f>AND('Discovery-Processing-QC feature'!D357,"AAAAAFf9fsA=")</f>
        <v>#VALUE!</v>
      </c>
      <c r="GL10" t="e">
        <f>AND('Discovery-Processing-QC feature'!E357,"AAAAAFf9fsE=")</f>
        <v>#VALUE!</v>
      </c>
      <c r="GM10" t="e">
        <f>AND('Discovery-Processing-QC feature'!F357,"AAAAAFf9fsI=")</f>
        <v>#VALUE!</v>
      </c>
      <c r="GN10">
        <f>IF('Discovery-Processing-QC feature'!358:358,"AAAAAFf9fsM=",0)</f>
        <v>0</v>
      </c>
      <c r="GO10" t="e">
        <f>AND('Discovery-Processing-QC feature'!A358,"AAAAAFf9fsQ=")</f>
        <v>#VALUE!</v>
      </c>
      <c r="GP10" t="e">
        <f>AND('Discovery-Processing-QC feature'!B358,"AAAAAFf9fsU=")</f>
        <v>#VALUE!</v>
      </c>
      <c r="GQ10" t="e">
        <f>AND('Discovery-Processing-QC feature'!C358,"AAAAAFf9fsY=")</f>
        <v>#VALUE!</v>
      </c>
      <c r="GR10" t="e">
        <f>AND('Discovery-Processing-QC feature'!D358,"AAAAAFf9fsc=")</f>
        <v>#VALUE!</v>
      </c>
      <c r="GS10" t="e">
        <f>AND('Discovery-Processing-QC feature'!E358,"AAAAAFf9fsg=")</f>
        <v>#VALUE!</v>
      </c>
      <c r="GT10" t="e">
        <f>AND('Discovery-Processing-QC feature'!F358,"AAAAAFf9fsk=")</f>
        <v>#VALUE!</v>
      </c>
      <c r="GU10">
        <f>IF('Discovery-Processing-QC feature'!359:359,"AAAAAFf9fso=",0)</f>
        <v>0</v>
      </c>
      <c r="GV10" t="e">
        <f>AND('Discovery-Processing-QC feature'!A359,"AAAAAFf9fss=")</f>
        <v>#VALUE!</v>
      </c>
      <c r="GW10" t="e">
        <f>AND('Discovery-Processing-QC feature'!B359,"AAAAAFf9fsw=")</f>
        <v>#VALUE!</v>
      </c>
      <c r="GX10" t="e">
        <f>AND('Discovery-Processing-QC feature'!C359,"AAAAAFf9fs0=")</f>
        <v>#VALUE!</v>
      </c>
      <c r="GY10" t="e">
        <f>AND('Discovery-Processing-QC feature'!D359,"AAAAAFf9fs4=")</f>
        <v>#VALUE!</v>
      </c>
      <c r="GZ10" t="e">
        <f>AND('Discovery-Processing-QC feature'!E359,"AAAAAFf9fs8=")</f>
        <v>#VALUE!</v>
      </c>
      <c r="HA10" t="e">
        <f>AND('Discovery-Processing-QC feature'!F359,"AAAAAFf9ftA=")</f>
        <v>#VALUE!</v>
      </c>
      <c r="HB10">
        <f>IF('Discovery-Processing-QC feature'!360:360,"AAAAAFf9ftE=",0)</f>
        <v>0</v>
      </c>
      <c r="HC10" t="e">
        <f>AND('Discovery-Processing-QC feature'!A360,"AAAAAFf9ftI=")</f>
        <v>#VALUE!</v>
      </c>
      <c r="HD10" t="e">
        <f>AND('Discovery-Processing-QC feature'!B360,"AAAAAFf9ftM=")</f>
        <v>#VALUE!</v>
      </c>
      <c r="HE10" t="e">
        <f>AND('Discovery-Processing-QC feature'!C360,"AAAAAFf9ftQ=")</f>
        <v>#VALUE!</v>
      </c>
      <c r="HF10" t="e">
        <f>AND('Discovery-Processing-QC feature'!D360,"AAAAAFf9ftU=")</f>
        <v>#VALUE!</v>
      </c>
      <c r="HG10" t="e">
        <f>AND('Discovery-Processing-QC feature'!E360,"AAAAAFf9ftY=")</f>
        <v>#VALUE!</v>
      </c>
      <c r="HH10" t="e">
        <f>AND('Discovery-Processing-QC feature'!F360,"AAAAAFf9ftc=")</f>
        <v>#VALUE!</v>
      </c>
      <c r="HI10">
        <f>IF('Discovery-Processing-QC feature'!361:361,"AAAAAFf9ftg=",0)</f>
        <v>0</v>
      </c>
      <c r="HJ10" t="e">
        <f>AND('Discovery-Processing-QC feature'!A361,"AAAAAFf9ftk=")</f>
        <v>#VALUE!</v>
      </c>
      <c r="HK10" t="e">
        <f>AND('Discovery-Processing-QC feature'!B361,"AAAAAFf9fto=")</f>
        <v>#VALUE!</v>
      </c>
      <c r="HL10" t="e">
        <f>AND('Discovery-Processing-QC feature'!C361,"AAAAAFf9fts=")</f>
        <v>#VALUE!</v>
      </c>
      <c r="HM10" t="e">
        <f>AND('Discovery-Processing-QC feature'!D361,"AAAAAFf9ftw=")</f>
        <v>#VALUE!</v>
      </c>
      <c r="HN10" t="e">
        <f>AND('Discovery-Processing-QC feature'!E361,"AAAAAFf9ft0=")</f>
        <v>#VALUE!</v>
      </c>
      <c r="HO10" t="e">
        <f>AND('Discovery-Processing-QC feature'!F361,"AAAAAFf9ft4=")</f>
        <v>#VALUE!</v>
      </c>
      <c r="HP10">
        <f>IF('Discovery-Processing-QC feature'!362:362,"AAAAAFf9ft8=",0)</f>
        <v>0</v>
      </c>
      <c r="HQ10" t="e">
        <f>AND('Discovery-Processing-QC feature'!A362,"AAAAAFf9fuA=")</f>
        <v>#VALUE!</v>
      </c>
      <c r="HR10" t="e">
        <f>AND('Discovery-Processing-QC feature'!B362,"AAAAAFf9fuE=")</f>
        <v>#VALUE!</v>
      </c>
      <c r="HS10" t="e">
        <f>AND('Discovery-Processing-QC feature'!C362,"AAAAAFf9fuI=")</f>
        <v>#VALUE!</v>
      </c>
      <c r="HT10" t="e">
        <f>AND('Discovery-Processing-QC feature'!D362,"AAAAAFf9fuM=")</f>
        <v>#VALUE!</v>
      </c>
      <c r="HU10" t="e">
        <f>AND('Discovery-Processing-QC feature'!E362,"AAAAAFf9fuQ=")</f>
        <v>#VALUE!</v>
      </c>
      <c r="HV10" t="e">
        <f>AND('Discovery-Processing-QC feature'!F362,"AAAAAFf9fuU=")</f>
        <v>#VALUE!</v>
      </c>
      <c r="HW10">
        <f>IF('Discovery-Processing-QC feature'!363:363,"AAAAAFf9fuY=",0)</f>
        <v>0</v>
      </c>
      <c r="HX10" t="e">
        <f>AND('Discovery-Processing-QC feature'!A363,"AAAAAFf9fuc=")</f>
        <v>#VALUE!</v>
      </c>
      <c r="HY10" t="e">
        <f>AND('Discovery-Processing-QC feature'!B363,"AAAAAFf9fug=")</f>
        <v>#VALUE!</v>
      </c>
      <c r="HZ10" t="e">
        <f>AND('Discovery-Processing-QC feature'!C363,"AAAAAFf9fuk=")</f>
        <v>#VALUE!</v>
      </c>
      <c r="IA10" t="e">
        <f>AND('Discovery-Processing-QC feature'!D363,"AAAAAFf9fuo=")</f>
        <v>#VALUE!</v>
      </c>
      <c r="IB10" t="e">
        <f>AND('Discovery-Processing-QC feature'!E363,"AAAAAFf9fus=")</f>
        <v>#VALUE!</v>
      </c>
      <c r="IC10" t="e">
        <f>AND('Discovery-Processing-QC feature'!F363,"AAAAAFf9fuw=")</f>
        <v>#VALUE!</v>
      </c>
      <c r="ID10">
        <f>IF('Discovery-Processing-QC feature'!364:364,"AAAAAFf9fu0=",0)</f>
        <v>0</v>
      </c>
      <c r="IE10" t="e">
        <f>AND('Discovery-Processing-QC feature'!A364,"AAAAAFf9fu4=")</f>
        <v>#VALUE!</v>
      </c>
      <c r="IF10" t="e">
        <f>AND('Discovery-Processing-QC feature'!B364,"AAAAAFf9fu8=")</f>
        <v>#VALUE!</v>
      </c>
      <c r="IG10" t="e">
        <f>AND('Discovery-Processing-QC feature'!C364,"AAAAAFf9fvA=")</f>
        <v>#VALUE!</v>
      </c>
      <c r="IH10" t="e">
        <f>AND('Discovery-Processing-QC feature'!D364,"AAAAAFf9fvE=")</f>
        <v>#VALUE!</v>
      </c>
      <c r="II10" t="e">
        <f>AND('Discovery-Processing-QC feature'!E364,"AAAAAFf9fvI=")</f>
        <v>#VALUE!</v>
      </c>
      <c r="IJ10" t="e">
        <f>AND('Discovery-Processing-QC feature'!F364,"AAAAAFf9fvM=")</f>
        <v>#VALUE!</v>
      </c>
      <c r="IK10">
        <f>IF('Discovery-Processing-QC feature'!365:365,"AAAAAFf9fvQ=",0)</f>
        <v>0</v>
      </c>
      <c r="IL10" t="e">
        <f>AND('Discovery-Processing-QC feature'!A365,"AAAAAFf9fvU=")</f>
        <v>#VALUE!</v>
      </c>
      <c r="IM10" t="e">
        <f>AND('Discovery-Processing-QC feature'!B365,"AAAAAFf9fvY=")</f>
        <v>#VALUE!</v>
      </c>
      <c r="IN10" t="e">
        <f>AND('Discovery-Processing-QC feature'!C365,"AAAAAFf9fvc=")</f>
        <v>#VALUE!</v>
      </c>
      <c r="IO10" t="e">
        <f>AND('Discovery-Processing-QC feature'!D365,"AAAAAFf9fvg=")</f>
        <v>#VALUE!</v>
      </c>
      <c r="IP10" t="e">
        <f>AND('Discovery-Processing-QC feature'!E365,"AAAAAFf9fvk=")</f>
        <v>#VALUE!</v>
      </c>
      <c r="IQ10" t="e">
        <f>AND('Discovery-Processing-QC feature'!F365,"AAAAAFf9fvo=")</f>
        <v>#VALUE!</v>
      </c>
      <c r="IR10">
        <f>IF('Discovery-Processing-QC feature'!366:366,"AAAAAFf9fvs=",0)</f>
        <v>0</v>
      </c>
      <c r="IS10" t="e">
        <f>AND('Discovery-Processing-QC feature'!A366,"AAAAAFf9fvw=")</f>
        <v>#VALUE!</v>
      </c>
      <c r="IT10" t="e">
        <f>AND('Discovery-Processing-QC feature'!B366,"AAAAAFf9fv0=")</f>
        <v>#VALUE!</v>
      </c>
      <c r="IU10" t="e">
        <f>AND('Discovery-Processing-QC feature'!C366,"AAAAAFf9fv4=")</f>
        <v>#VALUE!</v>
      </c>
      <c r="IV10" t="e">
        <f>AND('Discovery-Processing-QC feature'!D366,"AAAAAFf9fv8=")</f>
        <v>#VALUE!</v>
      </c>
    </row>
    <row r="11" spans="1:256" x14ac:dyDescent="0.2">
      <c r="A11" t="e">
        <f>AND('Discovery-Processing-QC feature'!E366,"AAAAADf8pQA=")</f>
        <v>#VALUE!</v>
      </c>
      <c r="B11" t="e">
        <f>AND('Discovery-Processing-QC feature'!F366,"AAAAADf8pQE=")</f>
        <v>#VALUE!</v>
      </c>
      <c r="C11" t="e">
        <f>IF('Discovery-Processing-QC feature'!367:367,"AAAAADf8pQI=",0)</f>
        <v>#VALUE!</v>
      </c>
      <c r="D11" t="e">
        <f>AND('Discovery-Processing-QC feature'!A367,"AAAAADf8pQM=")</f>
        <v>#VALUE!</v>
      </c>
      <c r="E11" t="e">
        <f>AND('Discovery-Processing-QC feature'!B367,"AAAAADf8pQQ=")</f>
        <v>#VALUE!</v>
      </c>
      <c r="F11" t="e">
        <f>AND('Discovery-Processing-QC feature'!C367,"AAAAADf8pQU=")</f>
        <v>#VALUE!</v>
      </c>
      <c r="G11" t="e">
        <f>AND('Discovery-Processing-QC feature'!D367,"AAAAADf8pQY=")</f>
        <v>#VALUE!</v>
      </c>
      <c r="H11" t="e">
        <f>AND('Discovery-Processing-QC feature'!E367,"AAAAADf8pQc=")</f>
        <v>#VALUE!</v>
      </c>
      <c r="I11" t="e">
        <f>AND('Discovery-Processing-QC feature'!F367,"AAAAADf8pQg=")</f>
        <v>#VALUE!</v>
      </c>
      <c r="J11">
        <f>IF('Discovery-Processing-QC feature'!368:368,"AAAAADf8pQk=",0)</f>
        <v>0</v>
      </c>
      <c r="K11" t="e">
        <f>AND('Discovery-Processing-QC feature'!A368,"AAAAADf8pQo=")</f>
        <v>#VALUE!</v>
      </c>
      <c r="L11" t="e">
        <f>AND('Discovery-Processing-QC feature'!B368,"AAAAADf8pQs=")</f>
        <v>#VALUE!</v>
      </c>
      <c r="M11" t="e">
        <f>AND('Discovery-Processing-QC feature'!C368,"AAAAADf8pQw=")</f>
        <v>#VALUE!</v>
      </c>
      <c r="N11" t="e">
        <f>AND('Discovery-Processing-QC feature'!D368,"AAAAADf8pQ0=")</f>
        <v>#VALUE!</v>
      </c>
      <c r="O11" t="e">
        <f>AND('Discovery-Processing-QC feature'!E368,"AAAAADf8pQ4=")</f>
        <v>#VALUE!</v>
      </c>
      <c r="P11" t="e">
        <f>AND('Discovery-Processing-QC feature'!F368,"AAAAADf8pQ8=")</f>
        <v>#VALUE!</v>
      </c>
      <c r="Q11">
        <f>IF('Discovery-Processing-QC feature'!369:369,"AAAAADf8pRA=",0)</f>
        <v>0</v>
      </c>
      <c r="R11" t="e">
        <f>AND('Discovery-Processing-QC feature'!A369,"AAAAADf8pRE=")</f>
        <v>#VALUE!</v>
      </c>
      <c r="S11" t="e">
        <f>AND('Discovery-Processing-QC feature'!B369,"AAAAADf8pRI=")</f>
        <v>#VALUE!</v>
      </c>
      <c r="T11" t="e">
        <f>AND('Discovery-Processing-QC feature'!C369,"AAAAADf8pRM=")</f>
        <v>#VALUE!</v>
      </c>
      <c r="U11" t="e">
        <f>AND('Discovery-Processing-QC feature'!D369,"AAAAADf8pRQ=")</f>
        <v>#VALUE!</v>
      </c>
      <c r="V11" t="e">
        <f>AND('Discovery-Processing-QC feature'!E369,"AAAAADf8pRU=")</f>
        <v>#VALUE!</v>
      </c>
      <c r="W11" t="e">
        <f>AND('Discovery-Processing-QC feature'!F369,"AAAAADf8pRY=")</f>
        <v>#VALUE!</v>
      </c>
      <c r="X11">
        <f>IF('Discovery-Processing-QC feature'!370:370,"AAAAADf8pRc=",0)</f>
        <v>0</v>
      </c>
      <c r="Y11" t="e">
        <f>AND('Discovery-Processing-QC feature'!A370,"AAAAADf8pRg=")</f>
        <v>#VALUE!</v>
      </c>
      <c r="Z11" t="e">
        <f>AND('Discovery-Processing-QC feature'!B370,"AAAAADf8pRk=")</f>
        <v>#VALUE!</v>
      </c>
      <c r="AA11" t="e">
        <f>AND('Discovery-Processing-QC feature'!C370,"AAAAADf8pRo=")</f>
        <v>#VALUE!</v>
      </c>
      <c r="AB11" t="e">
        <f>AND('Discovery-Processing-QC feature'!D370,"AAAAADf8pRs=")</f>
        <v>#VALUE!</v>
      </c>
      <c r="AC11" t="e">
        <f>AND('Discovery-Processing-QC feature'!E370,"AAAAADf8pRw=")</f>
        <v>#VALUE!</v>
      </c>
      <c r="AD11" t="e">
        <f>AND('Discovery-Processing-QC feature'!F370,"AAAAADf8pR0=")</f>
        <v>#VALUE!</v>
      </c>
      <c r="AE11">
        <f>IF('Discovery-Processing-QC feature'!371:371,"AAAAADf8pR4=",0)</f>
        <v>0</v>
      </c>
      <c r="AF11" t="e">
        <f>AND('Discovery-Processing-QC feature'!A371,"AAAAADf8pR8=")</f>
        <v>#VALUE!</v>
      </c>
      <c r="AG11" t="e">
        <f>AND('Discovery-Processing-QC feature'!B371,"AAAAADf8pSA=")</f>
        <v>#VALUE!</v>
      </c>
      <c r="AH11" t="e">
        <f>AND('Discovery-Processing-QC feature'!C371,"AAAAADf8pSE=")</f>
        <v>#VALUE!</v>
      </c>
      <c r="AI11" t="e">
        <f>AND('Discovery-Processing-QC feature'!D371,"AAAAADf8pSI=")</f>
        <v>#VALUE!</v>
      </c>
      <c r="AJ11" t="e">
        <f>AND('Discovery-Processing-QC feature'!E371,"AAAAADf8pSM=")</f>
        <v>#VALUE!</v>
      </c>
      <c r="AK11" t="e">
        <f>AND('Discovery-Processing-QC feature'!F371,"AAAAADf8pSQ=")</f>
        <v>#VALUE!</v>
      </c>
      <c r="AL11">
        <f>IF('Discovery-Processing-QC feature'!372:372,"AAAAADf8pSU=",0)</f>
        <v>0</v>
      </c>
      <c r="AM11" t="e">
        <f>AND('Discovery-Processing-QC feature'!A372,"AAAAADf8pSY=")</f>
        <v>#VALUE!</v>
      </c>
      <c r="AN11" t="e">
        <f>AND('Discovery-Processing-QC feature'!B372,"AAAAADf8pSc=")</f>
        <v>#VALUE!</v>
      </c>
      <c r="AO11" t="e">
        <f>AND('Discovery-Processing-QC feature'!C372,"AAAAADf8pSg=")</f>
        <v>#VALUE!</v>
      </c>
      <c r="AP11" t="e">
        <f>AND('Discovery-Processing-QC feature'!D372,"AAAAADf8pSk=")</f>
        <v>#VALUE!</v>
      </c>
      <c r="AQ11" t="e">
        <f>AND('Discovery-Processing-QC feature'!E372,"AAAAADf8pSo=")</f>
        <v>#VALUE!</v>
      </c>
      <c r="AR11" t="e">
        <f>AND('Discovery-Processing-QC feature'!F372,"AAAAADf8pSs=")</f>
        <v>#VALUE!</v>
      </c>
      <c r="AS11">
        <f>IF('Discovery-Processing-QC feature'!373:373,"AAAAADf8pSw=",0)</f>
        <v>0</v>
      </c>
      <c r="AT11" t="e">
        <f>AND('Discovery-Processing-QC feature'!A373,"AAAAADf8pS0=")</f>
        <v>#VALUE!</v>
      </c>
      <c r="AU11" t="e">
        <f>AND('Discovery-Processing-QC feature'!B373,"AAAAADf8pS4=")</f>
        <v>#VALUE!</v>
      </c>
      <c r="AV11" t="e">
        <f>AND('Discovery-Processing-QC feature'!C373,"AAAAADf8pS8=")</f>
        <v>#VALUE!</v>
      </c>
      <c r="AW11" t="e">
        <f>AND('Discovery-Processing-QC feature'!D373,"AAAAADf8pTA=")</f>
        <v>#VALUE!</v>
      </c>
      <c r="AX11" t="e">
        <f>AND('Discovery-Processing-QC feature'!E373,"AAAAADf8pTE=")</f>
        <v>#VALUE!</v>
      </c>
      <c r="AY11" t="e">
        <f>AND('Discovery-Processing-QC feature'!F373,"AAAAADf8pTI=")</f>
        <v>#VALUE!</v>
      </c>
      <c r="AZ11">
        <f>IF('Discovery-Processing-QC feature'!374:374,"AAAAADf8pTM=",0)</f>
        <v>0</v>
      </c>
      <c r="BA11" t="e">
        <f>AND('Discovery-Processing-QC feature'!A374,"AAAAADf8pTQ=")</f>
        <v>#VALUE!</v>
      </c>
      <c r="BB11" t="e">
        <f>AND('Discovery-Processing-QC feature'!B374,"AAAAADf8pTU=")</f>
        <v>#VALUE!</v>
      </c>
      <c r="BC11" t="e">
        <f>AND('Discovery-Processing-QC feature'!C374,"AAAAADf8pTY=")</f>
        <v>#VALUE!</v>
      </c>
      <c r="BD11" t="e">
        <f>AND('Discovery-Processing-QC feature'!D374,"AAAAADf8pTc=")</f>
        <v>#VALUE!</v>
      </c>
      <c r="BE11" t="e">
        <f>AND('Discovery-Processing-QC feature'!E374,"AAAAADf8pTg=")</f>
        <v>#VALUE!</v>
      </c>
      <c r="BF11" t="e">
        <f>AND('Discovery-Processing-QC feature'!F374,"AAAAADf8pTk=")</f>
        <v>#VALUE!</v>
      </c>
      <c r="BG11">
        <f>IF('Discovery-Processing-QC feature'!375:375,"AAAAADf8pTo=",0)</f>
        <v>0</v>
      </c>
      <c r="BH11" t="e">
        <f>AND('Discovery-Processing-QC feature'!A375,"AAAAADf8pTs=")</f>
        <v>#VALUE!</v>
      </c>
      <c r="BI11" t="e">
        <f>AND('Discovery-Processing-QC feature'!B375,"AAAAADf8pTw=")</f>
        <v>#VALUE!</v>
      </c>
      <c r="BJ11" t="e">
        <f>AND('Discovery-Processing-QC feature'!C375,"AAAAADf8pT0=")</f>
        <v>#VALUE!</v>
      </c>
      <c r="BK11" t="e">
        <f>AND('Discovery-Processing-QC feature'!D375,"AAAAADf8pT4=")</f>
        <v>#VALUE!</v>
      </c>
      <c r="BL11" t="e">
        <f>AND('Discovery-Processing-QC feature'!E375,"AAAAADf8pT8=")</f>
        <v>#VALUE!</v>
      </c>
      <c r="BM11" t="e">
        <f>AND('Discovery-Processing-QC feature'!F375,"AAAAADf8pUA=")</f>
        <v>#VALUE!</v>
      </c>
      <c r="BN11">
        <f>IF('Discovery-Processing-QC feature'!376:376,"AAAAADf8pUE=",0)</f>
        <v>0</v>
      </c>
      <c r="BO11" t="e">
        <f>AND('Discovery-Processing-QC feature'!A376,"AAAAADf8pUI=")</f>
        <v>#VALUE!</v>
      </c>
      <c r="BP11" t="e">
        <f>AND('Discovery-Processing-QC feature'!B376,"AAAAADf8pUM=")</f>
        <v>#VALUE!</v>
      </c>
      <c r="BQ11" t="e">
        <f>AND('Discovery-Processing-QC feature'!C376,"AAAAADf8pUQ=")</f>
        <v>#VALUE!</v>
      </c>
      <c r="BR11" t="e">
        <f>AND('Discovery-Processing-QC feature'!D376,"AAAAADf8pUU=")</f>
        <v>#VALUE!</v>
      </c>
      <c r="BS11" t="e">
        <f>AND('Discovery-Processing-QC feature'!E376,"AAAAADf8pUY=")</f>
        <v>#VALUE!</v>
      </c>
      <c r="BT11" t="e">
        <f>AND('Discovery-Processing-QC feature'!F376,"AAAAADf8pUc=")</f>
        <v>#VALUE!</v>
      </c>
      <c r="BU11">
        <f>IF('Discovery-Processing-QC feature'!377:377,"AAAAADf8pUg=",0)</f>
        <v>0</v>
      </c>
      <c r="BV11" t="e">
        <f>AND('Discovery-Processing-QC feature'!A377,"AAAAADf8pUk=")</f>
        <v>#VALUE!</v>
      </c>
      <c r="BW11" t="e">
        <f>AND('Discovery-Processing-QC feature'!B377,"AAAAADf8pUo=")</f>
        <v>#VALUE!</v>
      </c>
      <c r="BX11" t="e">
        <f>AND('Discovery-Processing-QC feature'!C377,"AAAAADf8pUs=")</f>
        <v>#VALUE!</v>
      </c>
      <c r="BY11" t="e">
        <f>AND('Discovery-Processing-QC feature'!D377,"AAAAADf8pUw=")</f>
        <v>#VALUE!</v>
      </c>
      <c r="BZ11" t="e">
        <f>AND('Discovery-Processing-QC feature'!E377,"AAAAADf8pU0=")</f>
        <v>#VALUE!</v>
      </c>
      <c r="CA11" t="e">
        <f>AND('Discovery-Processing-QC feature'!F377,"AAAAADf8pU4=")</f>
        <v>#VALUE!</v>
      </c>
      <c r="CB11">
        <f>IF('Discovery-Processing-QC feature'!378:378,"AAAAADf8pU8=",0)</f>
        <v>0</v>
      </c>
      <c r="CC11" t="e">
        <f>AND('Discovery-Processing-QC feature'!A378,"AAAAADf8pVA=")</f>
        <v>#VALUE!</v>
      </c>
      <c r="CD11" t="e">
        <f>AND('Discovery-Processing-QC feature'!B378,"AAAAADf8pVE=")</f>
        <v>#VALUE!</v>
      </c>
      <c r="CE11" t="e">
        <f>AND('Discovery-Processing-QC feature'!C378,"AAAAADf8pVI=")</f>
        <v>#VALUE!</v>
      </c>
      <c r="CF11" t="e">
        <f>AND('Discovery-Processing-QC feature'!D378,"AAAAADf8pVM=")</f>
        <v>#VALUE!</v>
      </c>
      <c r="CG11" t="e">
        <f>AND('Discovery-Processing-QC feature'!E378,"AAAAADf8pVQ=")</f>
        <v>#VALUE!</v>
      </c>
      <c r="CH11" t="e">
        <f>AND('Discovery-Processing-QC feature'!F378,"AAAAADf8pVU=")</f>
        <v>#VALUE!</v>
      </c>
      <c r="CI11">
        <f>IF('Discovery-Processing-QC feature'!379:379,"AAAAADf8pVY=",0)</f>
        <v>0</v>
      </c>
      <c r="CJ11" t="e">
        <f>AND('Discovery-Processing-QC feature'!A379,"AAAAADf8pVc=")</f>
        <v>#VALUE!</v>
      </c>
      <c r="CK11" t="e">
        <f>AND('Discovery-Processing-QC feature'!B379,"AAAAADf8pVg=")</f>
        <v>#VALUE!</v>
      </c>
      <c r="CL11" t="e">
        <f>AND('Discovery-Processing-QC feature'!C379,"AAAAADf8pVk=")</f>
        <v>#VALUE!</v>
      </c>
      <c r="CM11" t="e">
        <f>AND('Discovery-Processing-QC feature'!D379,"AAAAADf8pVo=")</f>
        <v>#VALUE!</v>
      </c>
      <c r="CN11" t="e">
        <f>AND('Discovery-Processing-QC feature'!E379,"AAAAADf8pVs=")</f>
        <v>#VALUE!</v>
      </c>
      <c r="CO11" t="e">
        <f>AND('Discovery-Processing-QC feature'!F379,"AAAAADf8pVw=")</f>
        <v>#VALUE!</v>
      </c>
      <c r="CP11">
        <f>IF('Discovery-Processing-QC feature'!380:380,"AAAAADf8pV0=",0)</f>
        <v>0</v>
      </c>
      <c r="CQ11" t="e">
        <f>AND('Discovery-Processing-QC feature'!A380,"AAAAADf8pV4=")</f>
        <v>#VALUE!</v>
      </c>
      <c r="CR11" t="e">
        <f>AND('Discovery-Processing-QC feature'!B380,"AAAAADf8pV8=")</f>
        <v>#VALUE!</v>
      </c>
      <c r="CS11" t="e">
        <f>AND('Discovery-Processing-QC feature'!C380,"AAAAADf8pWA=")</f>
        <v>#VALUE!</v>
      </c>
      <c r="CT11" t="e">
        <f>AND('Discovery-Processing-QC feature'!D380,"AAAAADf8pWE=")</f>
        <v>#VALUE!</v>
      </c>
      <c r="CU11" t="e">
        <f>AND('Discovery-Processing-QC feature'!E380,"AAAAADf8pWI=")</f>
        <v>#VALUE!</v>
      </c>
      <c r="CV11" t="e">
        <f>AND('Discovery-Processing-QC feature'!F380,"AAAAADf8pWM=")</f>
        <v>#VALUE!</v>
      </c>
      <c r="CW11">
        <f>IF('Discovery-Processing-QC feature'!381:381,"AAAAADf8pWQ=",0)</f>
        <v>0</v>
      </c>
      <c r="CX11" t="e">
        <f>AND('Discovery-Processing-QC feature'!A381,"AAAAADf8pWU=")</f>
        <v>#VALUE!</v>
      </c>
      <c r="CY11" t="e">
        <f>AND('Discovery-Processing-QC feature'!B381,"AAAAADf8pWY=")</f>
        <v>#VALUE!</v>
      </c>
      <c r="CZ11" t="e">
        <f>AND('Discovery-Processing-QC feature'!C381,"AAAAADf8pWc=")</f>
        <v>#VALUE!</v>
      </c>
      <c r="DA11" t="e">
        <f>AND('Discovery-Processing-QC feature'!D381,"AAAAADf8pWg=")</f>
        <v>#VALUE!</v>
      </c>
      <c r="DB11" t="e">
        <f>AND('Discovery-Processing-QC feature'!E381,"AAAAADf8pWk=")</f>
        <v>#VALUE!</v>
      </c>
      <c r="DC11" t="e">
        <f>AND('Discovery-Processing-QC feature'!F381,"AAAAADf8pWo=")</f>
        <v>#VALUE!</v>
      </c>
      <c r="DD11">
        <f>IF('Discovery-Processing-QC feature'!382:382,"AAAAADf8pWs=",0)</f>
        <v>0</v>
      </c>
      <c r="DE11" t="e">
        <f>AND('Discovery-Processing-QC feature'!A382,"AAAAADf8pWw=")</f>
        <v>#VALUE!</v>
      </c>
      <c r="DF11" t="e">
        <f>AND('Discovery-Processing-QC feature'!B382,"AAAAADf8pW0=")</f>
        <v>#VALUE!</v>
      </c>
      <c r="DG11" t="e">
        <f>AND('Discovery-Processing-QC feature'!C382,"AAAAADf8pW4=")</f>
        <v>#VALUE!</v>
      </c>
      <c r="DH11" t="e">
        <f>AND('Discovery-Processing-QC feature'!D382,"AAAAADf8pW8=")</f>
        <v>#VALUE!</v>
      </c>
      <c r="DI11" t="e">
        <f>AND('Discovery-Processing-QC feature'!E382,"AAAAADf8pXA=")</f>
        <v>#VALUE!</v>
      </c>
      <c r="DJ11" t="e">
        <f>AND('Discovery-Processing-QC feature'!F382,"AAAAADf8pXE=")</f>
        <v>#VALUE!</v>
      </c>
      <c r="DK11">
        <f>IF('Discovery-Processing-QC feature'!383:383,"AAAAADf8pXI=",0)</f>
        <v>0</v>
      </c>
      <c r="DL11" t="e">
        <f>AND('Discovery-Processing-QC feature'!A383,"AAAAADf8pXM=")</f>
        <v>#VALUE!</v>
      </c>
      <c r="DM11" t="e">
        <f>AND('Discovery-Processing-QC feature'!B383,"AAAAADf8pXQ=")</f>
        <v>#VALUE!</v>
      </c>
      <c r="DN11" t="e">
        <f>AND('Discovery-Processing-QC feature'!C383,"AAAAADf8pXU=")</f>
        <v>#VALUE!</v>
      </c>
      <c r="DO11" t="e">
        <f>AND('Discovery-Processing-QC feature'!D383,"AAAAADf8pXY=")</f>
        <v>#VALUE!</v>
      </c>
      <c r="DP11" t="e">
        <f>AND('Discovery-Processing-QC feature'!E383,"AAAAADf8pXc=")</f>
        <v>#VALUE!</v>
      </c>
      <c r="DQ11" t="e">
        <f>AND('Discovery-Processing-QC feature'!F383,"AAAAADf8pXg=")</f>
        <v>#VALUE!</v>
      </c>
      <c r="DR11">
        <f>IF('Discovery-Processing-QC feature'!384:384,"AAAAADf8pXk=",0)</f>
        <v>0</v>
      </c>
      <c r="DS11" t="e">
        <f>AND('Discovery-Processing-QC feature'!A384,"AAAAADf8pXo=")</f>
        <v>#VALUE!</v>
      </c>
      <c r="DT11" t="e">
        <f>AND('Discovery-Processing-QC feature'!B384,"AAAAADf8pXs=")</f>
        <v>#VALUE!</v>
      </c>
      <c r="DU11" t="e">
        <f>AND('Discovery-Processing-QC feature'!C384,"AAAAADf8pXw=")</f>
        <v>#VALUE!</v>
      </c>
      <c r="DV11" t="e">
        <f>AND('Discovery-Processing-QC feature'!D384,"AAAAADf8pX0=")</f>
        <v>#VALUE!</v>
      </c>
      <c r="DW11" t="e">
        <f>AND('Discovery-Processing-QC feature'!E384,"AAAAADf8pX4=")</f>
        <v>#VALUE!</v>
      </c>
      <c r="DX11" t="e">
        <f>AND('Discovery-Processing-QC feature'!F384,"AAAAADf8pX8=")</f>
        <v>#VALUE!</v>
      </c>
      <c r="DY11">
        <f>IF('Discovery-Processing-QC feature'!385:385,"AAAAADf8pYA=",0)</f>
        <v>0</v>
      </c>
      <c r="DZ11" t="e">
        <f>AND('Discovery-Processing-QC feature'!A385,"AAAAADf8pYE=")</f>
        <v>#VALUE!</v>
      </c>
      <c r="EA11" t="e">
        <f>AND('Discovery-Processing-QC feature'!B385,"AAAAADf8pYI=")</f>
        <v>#VALUE!</v>
      </c>
      <c r="EB11" t="e">
        <f>AND('Discovery-Processing-QC feature'!C385,"AAAAADf8pYM=")</f>
        <v>#VALUE!</v>
      </c>
      <c r="EC11" t="e">
        <f>AND('Discovery-Processing-QC feature'!D385,"AAAAADf8pYQ=")</f>
        <v>#VALUE!</v>
      </c>
      <c r="ED11" t="e">
        <f>AND('Discovery-Processing-QC feature'!E385,"AAAAADf8pYU=")</f>
        <v>#VALUE!</v>
      </c>
      <c r="EE11" t="e">
        <f>AND('Discovery-Processing-QC feature'!F385,"AAAAADf8pYY=")</f>
        <v>#VALUE!</v>
      </c>
      <c r="EF11">
        <f>IF('Discovery-Processing-QC feature'!386:386,"AAAAADf8pYc=",0)</f>
        <v>0</v>
      </c>
      <c r="EG11" t="e">
        <f>AND('Discovery-Processing-QC feature'!A386,"AAAAADf8pYg=")</f>
        <v>#VALUE!</v>
      </c>
      <c r="EH11" t="e">
        <f>AND('Discovery-Processing-QC feature'!B386,"AAAAADf8pYk=")</f>
        <v>#VALUE!</v>
      </c>
      <c r="EI11" t="e">
        <f>AND('Discovery-Processing-QC feature'!C386,"AAAAADf8pYo=")</f>
        <v>#VALUE!</v>
      </c>
      <c r="EJ11" t="e">
        <f>AND('Discovery-Processing-QC feature'!D386,"AAAAADf8pYs=")</f>
        <v>#VALUE!</v>
      </c>
      <c r="EK11" t="e">
        <f>AND('Discovery-Processing-QC feature'!E386,"AAAAADf8pYw=")</f>
        <v>#VALUE!</v>
      </c>
      <c r="EL11" t="e">
        <f>AND('Discovery-Processing-QC feature'!F386,"AAAAADf8pY0=")</f>
        <v>#VALUE!</v>
      </c>
      <c r="EM11">
        <f>IF('Discovery-Processing-QC feature'!387:387,"AAAAADf8pY4=",0)</f>
        <v>0</v>
      </c>
      <c r="EN11" t="e">
        <f>AND('Discovery-Processing-QC feature'!A387,"AAAAADf8pY8=")</f>
        <v>#VALUE!</v>
      </c>
      <c r="EO11" t="e">
        <f>AND('Discovery-Processing-QC feature'!B387,"AAAAADf8pZA=")</f>
        <v>#VALUE!</v>
      </c>
      <c r="EP11" t="e">
        <f>AND('Discovery-Processing-QC feature'!C387,"AAAAADf8pZE=")</f>
        <v>#VALUE!</v>
      </c>
      <c r="EQ11" t="e">
        <f>AND('Discovery-Processing-QC feature'!D387,"AAAAADf8pZI=")</f>
        <v>#VALUE!</v>
      </c>
      <c r="ER11" t="e">
        <f>AND('Discovery-Processing-QC feature'!E387,"AAAAADf8pZM=")</f>
        <v>#VALUE!</v>
      </c>
      <c r="ES11" t="e">
        <f>AND('Discovery-Processing-QC feature'!F387,"AAAAADf8pZQ=")</f>
        <v>#VALUE!</v>
      </c>
      <c r="ET11">
        <f>IF('Discovery-Processing-QC feature'!388:388,"AAAAADf8pZU=",0)</f>
        <v>0</v>
      </c>
      <c r="EU11" t="e">
        <f>AND('Discovery-Processing-QC feature'!A388,"AAAAADf8pZY=")</f>
        <v>#VALUE!</v>
      </c>
      <c r="EV11" t="e">
        <f>AND('Discovery-Processing-QC feature'!B388,"AAAAADf8pZc=")</f>
        <v>#VALUE!</v>
      </c>
      <c r="EW11" t="e">
        <f>AND('Discovery-Processing-QC feature'!C388,"AAAAADf8pZg=")</f>
        <v>#VALUE!</v>
      </c>
      <c r="EX11" t="e">
        <f>AND('Discovery-Processing-QC feature'!D388,"AAAAADf8pZk=")</f>
        <v>#VALUE!</v>
      </c>
      <c r="EY11" t="e">
        <f>AND('Discovery-Processing-QC feature'!E388,"AAAAADf8pZo=")</f>
        <v>#VALUE!</v>
      </c>
      <c r="EZ11" t="e">
        <f>AND('Discovery-Processing-QC feature'!F388,"AAAAADf8pZs=")</f>
        <v>#VALUE!</v>
      </c>
      <c r="FA11">
        <f>IF('Discovery-Processing-QC feature'!389:389,"AAAAADf8pZw=",0)</f>
        <v>0</v>
      </c>
      <c r="FB11" t="e">
        <f>AND('Discovery-Processing-QC feature'!A389,"AAAAADf8pZ0=")</f>
        <v>#VALUE!</v>
      </c>
      <c r="FC11" t="e">
        <f>AND('Discovery-Processing-QC feature'!B389,"AAAAADf8pZ4=")</f>
        <v>#VALUE!</v>
      </c>
      <c r="FD11" t="e">
        <f>AND('Discovery-Processing-QC feature'!C389,"AAAAADf8pZ8=")</f>
        <v>#VALUE!</v>
      </c>
      <c r="FE11" t="e">
        <f>AND('Discovery-Processing-QC feature'!D389,"AAAAADf8paA=")</f>
        <v>#VALUE!</v>
      </c>
      <c r="FF11" t="e">
        <f>AND('Discovery-Processing-QC feature'!E389,"AAAAADf8paE=")</f>
        <v>#VALUE!</v>
      </c>
      <c r="FG11" t="e">
        <f>AND('Discovery-Processing-QC feature'!F389,"AAAAADf8paI=")</f>
        <v>#VALUE!</v>
      </c>
      <c r="FH11">
        <f>IF('Discovery-Processing-QC feature'!390:390,"AAAAADf8paM=",0)</f>
        <v>0</v>
      </c>
      <c r="FI11" t="e">
        <f>AND('Discovery-Processing-QC feature'!A390,"AAAAADf8paQ=")</f>
        <v>#VALUE!</v>
      </c>
      <c r="FJ11" t="e">
        <f>AND('Discovery-Processing-QC feature'!B390,"AAAAADf8paU=")</f>
        <v>#VALUE!</v>
      </c>
      <c r="FK11" t="e">
        <f>AND('Discovery-Processing-QC feature'!C390,"AAAAADf8paY=")</f>
        <v>#VALUE!</v>
      </c>
      <c r="FL11" t="e">
        <f>AND('Discovery-Processing-QC feature'!D390,"AAAAADf8pac=")</f>
        <v>#VALUE!</v>
      </c>
      <c r="FM11" t="e">
        <f>AND('Discovery-Processing-QC feature'!E390,"AAAAADf8pag=")</f>
        <v>#VALUE!</v>
      </c>
      <c r="FN11" t="e">
        <f>AND('Discovery-Processing-QC feature'!F390,"AAAAADf8pak=")</f>
        <v>#VALUE!</v>
      </c>
      <c r="FO11">
        <f>IF('Discovery-Processing-QC feature'!391:391,"AAAAADf8pao=",0)</f>
        <v>0</v>
      </c>
      <c r="FP11" t="e">
        <f>AND('Discovery-Processing-QC feature'!A391,"AAAAADf8pas=")</f>
        <v>#VALUE!</v>
      </c>
      <c r="FQ11" t="e">
        <f>AND('Discovery-Processing-QC feature'!B391,"AAAAADf8paw=")</f>
        <v>#VALUE!</v>
      </c>
      <c r="FR11" t="e">
        <f>AND('Discovery-Processing-QC feature'!C391,"AAAAADf8pa0=")</f>
        <v>#VALUE!</v>
      </c>
      <c r="FS11" t="e">
        <f>AND('Discovery-Processing-QC feature'!D391,"AAAAADf8pa4=")</f>
        <v>#VALUE!</v>
      </c>
      <c r="FT11" t="e">
        <f>AND('Discovery-Processing-QC feature'!E391,"AAAAADf8pa8=")</f>
        <v>#VALUE!</v>
      </c>
      <c r="FU11" t="e">
        <f>AND('Discovery-Processing-QC feature'!F391,"AAAAADf8pbA=")</f>
        <v>#VALUE!</v>
      </c>
      <c r="FV11">
        <f>IF('Discovery-Processing-QC feature'!392:392,"AAAAADf8pbE=",0)</f>
        <v>0</v>
      </c>
      <c r="FW11" t="e">
        <f>AND('Discovery-Processing-QC feature'!A392,"AAAAADf8pbI=")</f>
        <v>#VALUE!</v>
      </c>
      <c r="FX11" t="e">
        <f>AND('Discovery-Processing-QC feature'!B392,"AAAAADf8pbM=")</f>
        <v>#VALUE!</v>
      </c>
      <c r="FY11" t="e">
        <f>AND('Discovery-Processing-QC feature'!C392,"AAAAADf8pbQ=")</f>
        <v>#VALUE!</v>
      </c>
      <c r="FZ11" t="e">
        <f>AND('Discovery-Processing-QC feature'!D392,"AAAAADf8pbU=")</f>
        <v>#VALUE!</v>
      </c>
      <c r="GA11" t="e">
        <f>AND('Discovery-Processing-QC feature'!E392,"AAAAADf8pbY=")</f>
        <v>#VALUE!</v>
      </c>
      <c r="GB11" t="e">
        <f>AND('Discovery-Processing-QC feature'!F392,"AAAAADf8pbc=")</f>
        <v>#VALUE!</v>
      </c>
      <c r="GC11">
        <f>IF('Discovery-Processing-QC feature'!393:393,"AAAAADf8pbg=",0)</f>
        <v>0</v>
      </c>
      <c r="GD11" t="e">
        <f>AND('Discovery-Processing-QC feature'!A393,"AAAAADf8pbk=")</f>
        <v>#VALUE!</v>
      </c>
      <c r="GE11" t="e">
        <f>AND('Discovery-Processing-QC feature'!B393,"AAAAADf8pbo=")</f>
        <v>#VALUE!</v>
      </c>
      <c r="GF11" t="e">
        <f>AND('Discovery-Processing-QC feature'!C393,"AAAAADf8pbs=")</f>
        <v>#VALUE!</v>
      </c>
      <c r="GG11" t="e">
        <f>AND('Discovery-Processing-QC feature'!D393,"AAAAADf8pbw=")</f>
        <v>#VALUE!</v>
      </c>
      <c r="GH11" t="e">
        <f>AND('Discovery-Processing-QC feature'!E393,"AAAAADf8pb0=")</f>
        <v>#VALUE!</v>
      </c>
      <c r="GI11" t="e">
        <f>AND('Discovery-Processing-QC feature'!F393,"AAAAADf8pb4=")</f>
        <v>#VALUE!</v>
      </c>
      <c r="GJ11">
        <f>IF('Discovery-Processing-QC feature'!394:394,"AAAAADf8pb8=",0)</f>
        <v>0</v>
      </c>
      <c r="GK11" t="e">
        <f>AND('Discovery-Processing-QC feature'!A394,"AAAAADf8pcA=")</f>
        <v>#VALUE!</v>
      </c>
      <c r="GL11" t="e">
        <f>AND('Discovery-Processing-QC feature'!B394,"AAAAADf8pcE=")</f>
        <v>#VALUE!</v>
      </c>
      <c r="GM11" t="e">
        <f>AND('Discovery-Processing-QC feature'!C394,"AAAAADf8pcI=")</f>
        <v>#VALUE!</v>
      </c>
      <c r="GN11" t="e">
        <f>AND('Discovery-Processing-QC feature'!D394,"AAAAADf8pcM=")</f>
        <v>#VALUE!</v>
      </c>
      <c r="GO11" t="e">
        <f>AND('Discovery-Processing-QC feature'!E394,"AAAAADf8pcQ=")</f>
        <v>#VALUE!</v>
      </c>
      <c r="GP11" t="e">
        <f>AND('Discovery-Processing-QC feature'!F394,"AAAAADf8pcU=")</f>
        <v>#VALUE!</v>
      </c>
      <c r="GQ11">
        <f>IF('Discovery-Processing-QC feature'!395:395,"AAAAADf8pcY=",0)</f>
        <v>0</v>
      </c>
      <c r="GR11" t="e">
        <f>AND('Discovery-Processing-QC feature'!A395,"AAAAADf8pcc=")</f>
        <v>#VALUE!</v>
      </c>
      <c r="GS11" t="e">
        <f>AND('Discovery-Processing-QC feature'!B395,"AAAAADf8pcg=")</f>
        <v>#VALUE!</v>
      </c>
      <c r="GT11" t="e">
        <f>AND('Discovery-Processing-QC feature'!C395,"AAAAADf8pck=")</f>
        <v>#VALUE!</v>
      </c>
      <c r="GU11" t="e">
        <f>AND('Discovery-Processing-QC feature'!D395,"AAAAADf8pco=")</f>
        <v>#VALUE!</v>
      </c>
      <c r="GV11" t="e">
        <f>AND('Discovery-Processing-QC feature'!E395,"AAAAADf8pcs=")</f>
        <v>#VALUE!</v>
      </c>
      <c r="GW11" t="e">
        <f>AND('Discovery-Processing-QC feature'!F395,"AAAAADf8pcw=")</f>
        <v>#VALUE!</v>
      </c>
      <c r="GX11">
        <f>IF('Discovery-Processing-QC feature'!396:396,"AAAAADf8pc0=",0)</f>
        <v>0</v>
      </c>
      <c r="GY11" t="e">
        <f>AND('Discovery-Processing-QC feature'!A396,"AAAAADf8pc4=")</f>
        <v>#VALUE!</v>
      </c>
      <c r="GZ11" t="e">
        <f>AND('Discovery-Processing-QC feature'!B396,"AAAAADf8pc8=")</f>
        <v>#VALUE!</v>
      </c>
      <c r="HA11" t="e">
        <f>AND('Discovery-Processing-QC feature'!C396,"AAAAADf8pdA=")</f>
        <v>#VALUE!</v>
      </c>
      <c r="HB11" t="e">
        <f>AND('Discovery-Processing-QC feature'!D396,"AAAAADf8pdE=")</f>
        <v>#VALUE!</v>
      </c>
      <c r="HC11" t="e">
        <f>AND('Discovery-Processing-QC feature'!E396,"AAAAADf8pdI=")</f>
        <v>#VALUE!</v>
      </c>
      <c r="HD11" t="e">
        <f>AND('Discovery-Processing-QC feature'!F396,"AAAAADf8pdM=")</f>
        <v>#VALUE!</v>
      </c>
      <c r="HE11">
        <f>IF('Discovery-Processing-QC feature'!397:397,"AAAAADf8pdQ=",0)</f>
        <v>0</v>
      </c>
      <c r="HF11" t="e">
        <f>AND('Discovery-Processing-QC feature'!A397,"AAAAADf8pdU=")</f>
        <v>#VALUE!</v>
      </c>
      <c r="HG11" t="e">
        <f>AND('Discovery-Processing-QC feature'!B397,"AAAAADf8pdY=")</f>
        <v>#VALUE!</v>
      </c>
      <c r="HH11" t="e">
        <f>AND('Discovery-Processing-QC feature'!C397,"AAAAADf8pdc=")</f>
        <v>#VALUE!</v>
      </c>
      <c r="HI11" t="e">
        <f>AND('Discovery-Processing-QC feature'!D397,"AAAAADf8pdg=")</f>
        <v>#VALUE!</v>
      </c>
      <c r="HJ11" t="e">
        <f>AND('Discovery-Processing-QC feature'!E397,"AAAAADf8pdk=")</f>
        <v>#VALUE!</v>
      </c>
      <c r="HK11" t="e">
        <f>AND('Discovery-Processing-QC feature'!F397,"AAAAADf8pdo=")</f>
        <v>#VALUE!</v>
      </c>
      <c r="HL11">
        <f>IF('Discovery-Processing-QC feature'!398:398,"AAAAADf8pds=",0)</f>
        <v>0</v>
      </c>
      <c r="HM11" t="e">
        <f>AND('Discovery-Processing-QC feature'!A398,"AAAAADf8pdw=")</f>
        <v>#VALUE!</v>
      </c>
      <c r="HN11" t="e">
        <f>AND('Discovery-Processing-QC feature'!B398,"AAAAADf8pd0=")</f>
        <v>#VALUE!</v>
      </c>
      <c r="HO11" t="e">
        <f>AND('Discovery-Processing-QC feature'!C398,"AAAAADf8pd4=")</f>
        <v>#VALUE!</v>
      </c>
      <c r="HP11" t="e">
        <f>AND('Discovery-Processing-QC feature'!D398,"AAAAADf8pd8=")</f>
        <v>#VALUE!</v>
      </c>
      <c r="HQ11" t="e">
        <f>AND('Discovery-Processing-QC feature'!E398,"AAAAADf8peA=")</f>
        <v>#VALUE!</v>
      </c>
      <c r="HR11" t="e">
        <f>AND('Discovery-Processing-QC feature'!F398,"AAAAADf8peE=")</f>
        <v>#VALUE!</v>
      </c>
      <c r="HS11">
        <f>IF('Discovery-Processing-QC feature'!399:399,"AAAAADf8peI=",0)</f>
        <v>0</v>
      </c>
      <c r="HT11" t="e">
        <f>AND('Discovery-Processing-QC feature'!A399,"AAAAADf8peM=")</f>
        <v>#VALUE!</v>
      </c>
      <c r="HU11" t="e">
        <f>AND('Discovery-Processing-QC feature'!B399,"AAAAADf8peQ=")</f>
        <v>#VALUE!</v>
      </c>
      <c r="HV11" t="e">
        <f>AND('Discovery-Processing-QC feature'!C399,"AAAAADf8peU=")</f>
        <v>#VALUE!</v>
      </c>
      <c r="HW11" t="e">
        <f>AND('Discovery-Processing-QC feature'!D399,"AAAAADf8peY=")</f>
        <v>#VALUE!</v>
      </c>
      <c r="HX11" t="e">
        <f>AND('Discovery-Processing-QC feature'!E399,"AAAAADf8pec=")</f>
        <v>#VALUE!</v>
      </c>
      <c r="HY11" t="e">
        <f>AND('Discovery-Processing-QC feature'!F399,"AAAAADf8peg=")</f>
        <v>#VALUE!</v>
      </c>
      <c r="HZ11">
        <f>IF('Discovery-Processing-QC feature'!400:400,"AAAAADf8pek=",0)</f>
        <v>0</v>
      </c>
      <c r="IA11" t="e">
        <f>AND('Discovery-Processing-QC feature'!A400,"AAAAADf8peo=")</f>
        <v>#VALUE!</v>
      </c>
      <c r="IB11" t="e">
        <f>AND('Discovery-Processing-QC feature'!B400,"AAAAADf8pes=")</f>
        <v>#VALUE!</v>
      </c>
      <c r="IC11" t="e">
        <f>AND('Discovery-Processing-QC feature'!C400,"AAAAADf8pew=")</f>
        <v>#VALUE!</v>
      </c>
      <c r="ID11" t="e">
        <f>AND('Discovery-Processing-QC feature'!D400,"AAAAADf8pe0=")</f>
        <v>#VALUE!</v>
      </c>
      <c r="IE11" t="e">
        <f>AND('Discovery-Processing-QC feature'!E400,"AAAAADf8pe4=")</f>
        <v>#VALUE!</v>
      </c>
      <c r="IF11" t="e">
        <f>AND('Discovery-Processing-QC feature'!F400,"AAAAADf8pe8=")</f>
        <v>#VALUE!</v>
      </c>
      <c r="IG11">
        <f>IF('Discovery-Processing-QC feature'!401:401,"AAAAADf8pfA=",0)</f>
        <v>0</v>
      </c>
      <c r="IH11" t="e">
        <f>AND('Discovery-Processing-QC feature'!A401,"AAAAADf8pfE=")</f>
        <v>#VALUE!</v>
      </c>
      <c r="II11" t="e">
        <f>AND('Discovery-Processing-QC feature'!B401,"AAAAADf8pfI=")</f>
        <v>#VALUE!</v>
      </c>
      <c r="IJ11" t="e">
        <f>AND('Discovery-Processing-QC feature'!C401,"AAAAADf8pfM=")</f>
        <v>#VALUE!</v>
      </c>
      <c r="IK11" t="e">
        <f>AND('Discovery-Processing-QC feature'!D401,"AAAAADf8pfQ=")</f>
        <v>#VALUE!</v>
      </c>
      <c r="IL11" t="e">
        <f>AND('Discovery-Processing-QC feature'!E401,"AAAAADf8pfU=")</f>
        <v>#VALUE!</v>
      </c>
      <c r="IM11" t="e">
        <f>AND('Discovery-Processing-QC feature'!F401,"AAAAADf8pfY=")</f>
        <v>#VALUE!</v>
      </c>
      <c r="IN11">
        <f>IF('Discovery-Processing-QC feature'!402:402,"AAAAADf8pfc=",0)</f>
        <v>0</v>
      </c>
      <c r="IO11" t="e">
        <f>AND('Discovery-Processing-QC feature'!A402,"AAAAADf8pfg=")</f>
        <v>#VALUE!</v>
      </c>
      <c r="IP11" t="e">
        <f>AND('Discovery-Processing-QC feature'!B402,"AAAAADf8pfk=")</f>
        <v>#VALUE!</v>
      </c>
      <c r="IQ11" t="e">
        <f>AND('Discovery-Processing-QC feature'!C402,"AAAAADf8pfo=")</f>
        <v>#VALUE!</v>
      </c>
      <c r="IR11" t="e">
        <f>AND('Discovery-Processing-QC feature'!D402,"AAAAADf8pfs=")</f>
        <v>#VALUE!</v>
      </c>
      <c r="IS11" t="e">
        <f>AND('Discovery-Processing-QC feature'!E402,"AAAAADf8pfw=")</f>
        <v>#VALUE!</v>
      </c>
      <c r="IT11" t="e">
        <f>AND('Discovery-Processing-QC feature'!F402,"AAAAADf8pf0=")</f>
        <v>#VALUE!</v>
      </c>
      <c r="IU11">
        <f>IF('Discovery-Processing-QC feature'!403:403,"AAAAADf8pf4=",0)</f>
        <v>0</v>
      </c>
      <c r="IV11" t="e">
        <f>AND('Discovery-Processing-QC feature'!A403,"AAAAADf8pf8=")</f>
        <v>#VALUE!</v>
      </c>
    </row>
    <row r="12" spans="1:256" x14ac:dyDescent="0.2">
      <c r="A12" t="e">
        <f>AND('Discovery-Processing-QC feature'!B403,"AAAAAFb/vwA=")</f>
        <v>#VALUE!</v>
      </c>
      <c r="B12" t="e">
        <f>AND('Discovery-Processing-QC feature'!C403,"AAAAAFb/vwE=")</f>
        <v>#VALUE!</v>
      </c>
      <c r="C12" t="e">
        <f>AND('Discovery-Processing-QC feature'!D403,"AAAAAFb/vwI=")</f>
        <v>#VALUE!</v>
      </c>
      <c r="D12" t="e">
        <f>AND('Discovery-Processing-QC feature'!E403,"AAAAAFb/vwM=")</f>
        <v>#VALUE!</v>
      </c>
      <c r="E12" t="e">
        <f>AND('Discovery-Processing-QC feature'!F403,"AAAAAFb/vwQ=")</f>
        <v>#VALUE!</v>
      </c>
      <c r="F12">
        <f>IF('Discovery-Processing-QC feature'!404:404,"AAAAAFb/vwU=",0)</f>
        <v>0</v>
      </c>
      <c r="G12" t="e">
        <f>AND('Discovery-Processing-QC feature'!A404,"AAAAAFb/vwY=")</f>
        <v>#VALUE!</v>
      </c>
      <c r="H12" t="e">
        <f>AND('Discovery-Processing-QC feature'!B404,"AAAAAFb/vwc=")</f>
        <v>#VALUE!</v>
      </c>
      <c r="I12" t="e">
        <f>AND('Discovery-Processing-QC feature'!C404,"AAAAAFb/vwg=")</f>
        <v>#VALUE!</v>
      </c>
      <c r="J12" t="e">
        <f>AND('Discovery-Processing-QC feature'!D404,"AAAAAFb/vwk=")</f>
        <v>#VALUE!</v>
      </c>
      <c r="K12" t="e">
        <f>AND('Discovery-Processing-QC feature'!E404,"AAAAAFb/vwo=")</f>
        <v>#VALUE!</v>
      </c>
      <c r="L12" t="e">
        <f>AND('Discovery-Processing-QC feature'!F404,"AAAAAFb/vws=")</f>
        <v>#VALUE!</v>
      </c>
      <c r="M12">
        <f>IF('Discovery-Processing-QC feature'!405:405,"AAAAAFb/vww=",0)</f>
        <v>0</v>
      </c>
      <c r="N12" t="e">
        <f>AND('Discovery-Processing-QC feature'!A405,"AAAAAFb/vw0=")</f>
        <v>#VALUE!</v>
      </c>
      <c r="O12" t="e">
        <f>AND('Discovery-Processing-QC feature'!B405,"AAAAAFb/vw4=")</f>
        <v>#VALUE!</v>
      </c>
      <c r="P12" t="e">
        <f>AND('Discovery-Processing-QC feature'!C405,"AAAAAFb/vw8=")</f>
        <v>#VALUE!</v>
      </c>
      <c r="Q12" t="e">
        <f>AND('Discovery-Processing-QC feature'!D405,"AAAAAFb/vxA=")</f>
        <v>#VALUE!</v>
      </c>
      <c r="R12" t="e">
        <f>AND('Discovery-Processing-QC feature'!E405,"AAAAAFb/vxE=")</f>
        <v>#VALUE!</v>
      </c>
      <c r="S12" t="e">
        <f>AND('Discovery-Processing-QC feature'!F405,"AAAAAFb/vxI=")</f>
        <v>#VALUE!</v>
      </c>
      <c r="T12">
        <f>IF('Discovery-Processing-QC feature'!406:406,"AAAAAFb/vxM=",0)</f>
        <v>0</v>
      </c>
      <c r="U12" t="e">
        <f>AND('Discovery-Processing-QC feature'!A406,"AAAAAFb/vxQ=")</f>
        <v>#VALUE!</v>
      </c>
      <c r="V12" t="e">
        <f>AND('Discovery-Processing-QC feature'!B406,"AAAAAFb/vxU=")</f>
        <v>#VALUE!</v>
      </c>
      <c r="W12" t="e">
        <f>AND('Discovery-Processing-QC feature'!C406,"AAAAAFb/vxY=")</f>
        <v>#VALUE!</v>
      </c>
      <c r="X12" t="e">
        <f>AND('Discovery-Processing-QC feature'!D406,"AAAAAFb/vxc=")</f>
        <v>#VALUE!</v>
      </c>
      <c r="Y12" t="e">
        <f>AND('Discovery-Processing-QC feature'!E406,"AAAAAFb/vxg=")</f>
        <v>#VALUE!</v>
      </c>
      <c r="Z12" t="e">
        <f>AND('Discovery-Processing-QC feature'!F406,"AAAAAFb/vxk=")</f>
        <v>#VALUE!</v>
      </c>
      <c r="AA12">
        <f>IF('Discovery-Processing-QC feature'!407:407,"AAAAAFb/vxo=",0)</f>
        <v>0</v>
      </c>
      <c r="AB12" t="e">
        <f>AND('Discovery-Processing-QC feature'!A407,"AAAAAFb/vxs=")</f>
        <v>#VALUE!</v>
      </c>
      <c r="AC12" t="e">
        <f>AND('Discovery-Processing-QC feature'!B407,"AAAAAFb/vxw=")</f>
        <v>#VALUE!</v>
      </c>
      <c r="AD12" t="e">
        <f>AND('Discovery-Processing-QC feature'!C407,"AAAAAFb/vx0=")</f>
        <v>#VALUE!</v>
      </c>
      <c r="AE12" t="e">
        <f>AND('Discovery-Processing-QC feature'!D407,"AAAAAFb/vx4=")</f>
        <v>#VALUE!</v>
      </c>
      <c r="AF12" t="e">
        <f>AND('Discovery-Processing-QC feature'!E407,"AAAAAFb/vx8=")</f>
        <v>#VALUE!</v>
      </c>
      <c r="AG12" t="e">
        <f>AND('Discovery-Processing-QC feature'!F407,"AAAAAFb/vyA=")</f>
        <v>#VALUE!</v>
      </c>
      <c r="AH12">
        <f>IF('Discovery-Processing-QC feature'!408:408,"AAAAAFb/vyE=",0)</f>
        <v>0</v>
      </c>
      <c r="AI12" t="e">
        <f>AND('Discovery-Processing-QC feature'!A408,"AAAAAFb/vyI=")</f>
        <v>#VALUE!</v>
      </c>
      <c r="AJ12" t="e">
        <f>AND('Discovery-Processing-QC feature'!B408,"AAAAAFb/vyM=")</f>
        <v>#VALUE!</v>
      </c>
      <c r="AK12" t="e">
        <f>AND('Discovery-Processing-QC feature'!C408,"AAAAAFb/vyQ=")</f>
        <v>#VALUE!</v>
      </c>
      <c r="AL12" t="e">
        <f>AND('Discovery-Processing-QC feature'!D408,"AAAAAFb/vyU=")</f>
        <v>#VALUE!</v>
      </c>
      <c r="AM12" t="e">
        <f>AND('Discovery-Processing-QC feature'!E408,"AAAAAFb/vyY=")</f>
        <v>#VALUE!</v>
      </c>
      <c r="AN12" t="e">
        <f>AND('Discovery-Processing-QC feature'!F408,"AAAAAFb/vyc=")</f>
        <v>#VALUE!</v>
      </c>
      <c r="AO12">
        <f>IF('Discovery-Processing-QC feature'!409:409,"AAAAAFb/vyg=",0)</f>
        <v>0</v>
      </c>
      <c r="AP12" t="e">
        <f>AND('Discovery-Processing-QC feature'!A409,"AAAAAFb/vyk=")</f>
        <v>#VALUE!</v>
      </c>
      <c r="AQ12" t="e">
        <f>AND('Discovery-Processing-QC feature'!B409,"AAAAAFb/vyo=")</f>
        <v>#VALUE!</v>
      </c>
      <c r="AR12" t="e">
        <f>AND('Discovery-Processing-QC feature'!C409,"AAAAAFb/vys=")</f>
        <v>#VALUE!</v>
      </c>
      <c r="AS12" t="e">
        <f>AND('Discovery-Processing-QC feature'!D409,"AAAAAFb/vyw=")</f>
        <v>#VALUE!</v>
      </c>
      <c r="AT12" t="e">
        <f>AND('Discovery-Processing-QC feature'!E409,"AAAAAFb/vy0=")</f>
        <v>#VALUE!</v>
      </c>
      <c r="AU12" t="e">
        <f>AND('Discovery-Processing-QC feature'!F409,"AAAAAFb/vy4=")</f>
        <v>#VALUE!</v>
      </c>
      <c r="AV12">
        <f>IF('Discovery-Processing-QC feature'!410:410,"AAAAAFb/vy8=",0)</f>
        <v>0</v>
      </c>
      <c r="AW12" t="e">
        <f>AND('Discovery-Processing-QC feature'!A410,"AAAAAFb/vzA=")</f>
        <v>#VALUE!</v>
      </c>
      <c r="AX12" t="e">
        <f>AND('Discovery-Processing-QC feature'!B410,"AAAAAFb/vzE=")</f>
        <v>#VALUE!</v>
      </c>
      <c r="AY12" t="e">
        <f>AND('Discovery-Processing-QC feature'!C410,"AAAAAFb/vzI=")</f>
        <v>#VALUE!</v>
      </c>
      <c r="AZ12" t="e">
        <f>AND('Discovery-Processing-QC feature'!D410,"AAAAAFb/vzM=")</f>
        <v>#VALUE!</v>
      </c>
      <c r="BA12" t="e">
        <f>AND('Discovery-Processing-QC feature'!E410,"AAAAAFb/vzQ=")</f>
        <v>#VALUE!</v>
      </c>
      <c r="BB12" t="e">
        <f>AND('Discovery-Processing-QC feature'!F410,"AAAAAFb/vzU=")</f>
        <v>#VALUE!</v>
      </c>
      <c r="BC12">
        <f>IF('Discovery-Processing-QC feature'!411:411,"AAAAAFb/vzY=",0)</f>
        <v>0</v>
      </c>
      <c r="BD12" t="e">
        <f>AND('Discovery-Processing-QC feature'!A411,"AAAAAFb/vzc=")</f>
        <v>#VALUE!</v>
      </c>
      <c r="BE12" t="e">
        <f>AND('Discovery-Processing-QC feature'!B411,"AAAAAFb/vzg=")</f>
        <v>#VALUE!</v>
      </c>
      <c r="BF12" t="e">
        <f>AND('Discovery-Processing-QC feature'!C411,"AAAAAFb/vzk=")</f>
        <v>#VALUE!</v>
      </c>
      <c r="BG12" t="e">
        <f>AND('Discovery-Processing-QC feature'!D411,"AAAAAFb/vzo=")</f>
        <v>#VALUE!</v>
      </c>
      <c r="BH12" t="e">
        <f>AND('Discovery-Processing-QC feature'!E411,"AAAAAFb/vzs=")</f>
        <v>#VALUE!</v>
      </c>
      <c r="BI12" t="e">
        <f>AND('Discovery-Processing-QC feature'!F411,"AAAAAFb/vzw=")</f>
        <v>#VALUE!</v>
      </c>
      <c r="BJ12">
        <f>IF('Discovery-Processing-QC feature'!412:412,"AAAAAFb/vz0=",0)</f>
        <v>0</v>
      </c>
      <c r="BK12" t="e">
        <f>AND('Discovery-Processing-QC feature'!A412,"AAAAAFb/vz4=")</f>
        <v>#VALUE!</v>
      </c>
      <c r="BL12" t="e">
        <f>AND('Discovery-Processing-QC feature'!B412,"AAAAAFb/vz8=")</f>
        <v>#VALUE!</v>
      </c>
      <c r="BM12" t="e">
        <f>AND('Discovery-Processing-QC feature'!C412,"AAAAAFb/v0A=")</f>
        <v>#VALUE!</v>
      </c>
      <c r="BN12" t="e">
        <f>AND('Discovery-Processing-QC feature'!D412,"AAAAAFb/v0E=")</f>
        <v>#VALUE!</v>
      </c>
      <c r="BO12" t="e">
        <f>AND('Discovery-Processing-QC feature'!E412,"AAAAAFb/v0I=")</f>
        <v>#VALUE!</v>
      </c>
      <c r="BP12" t="e">
        <f>AND('Discovery-Processing-QC feature'!F412,"AAAAAFb/v0M=")</f>
        <v>#VALUE!</v>
      </c>
      <c r="BQ12">
        <f>IF('Discovery-Processing-QC feature'!413:413,"AAAAAFb/v0Q=",0)</f>
        <v>0</v>
      </c>
      <c r="BR12" t="e">
        <f>AND('Discovery-Processing-QC feature'!A413,"AAAAAFb/v0U=")</f>
        <v>#VALUE!</v>
      </c>
      <c r="BS12" t="e">
        <f>AND('Discovery-Processing-QC feature'!B413,"AAAAAFb/v0Y=")</f>
        <v>#VALUE!</v>
      </c>
      <c r="BT12" t="e">
        <f>AND('Discovery-Processing-QC feature'!C413,"AAAAAFb/v0c=")</f>
        <v>#VALUE!</v>
      </c>
      <c r="BU12" t="e">
        <f>AND('Discovery-Processing-QC feature'!D413,"AAAAAFb/v0g=")</f>
        <v>#VALUE!</v>
      </c>
      <c r="BV12" t="e">
        <f>AND('Discovery-Processing-QC feature'!E413,"AAAAAFb/v0k=")</f>
        <v>#VALUE!</v>
      </c>
      <c r="BW12" t="e">
        <f>AND('Discovery-Processing-QC feature'!F413,"AAAAAFb/v0o=")</f>
        <v>#VALUE!</v>
      </c>
      <c r="BX12">
        <f>IF('Discovery-Processing-QC feature'!414:414,"AAAAAFb/v0s=",0)</f>
        <v>0</v>
      </c>
      <c r="BY12" t="e">
        <f>AND('Discovery-Processing-QC feature'!A414,"AAAAAFb/v0w=")</f>
        <v>#VALUE!</v>
      </c>
      <c r="BZ12" t="e">
        <f>AND('Discovery-Processing-QC feature'!B414,"AAAAAFb/v00=")</f>
        <v>#VALUE!</v>
      </c>
      <c r="CA12" t="e">
        <f>AND('Discovery-Processing-QC feature'!C414,"AAAAAFb/v04=")</f>
        <v>#VALUE!</v>
      </c>
      <c r="CB12" t="e">
        <f>AND('Discovery-Processing-QC feature'!D414,"AAAAAFb/v08=")</f>
        <v>#VALUE!</v>
      </c>
      <c r="CC12" t="e">
        <f>AND('Discovery-Processing-QC feature'!E414,"AAAAAFb/v1A=")</f>
        <v>#VALUE!</v>
      </c>
      <c r="CD12" t="e">
        <f>AND('Discovery-Processing-QC feature'!F414,"AAAAAFb/v1E=")</f>
        <v>#VALUE!</v>
      </c>
      <c r="CE12">
        <f>IF('Discovery-Processing-QC feature'!415:415,"AAAAAFb/v1I=",0)</f>
        <v>0</v>
      </c>
      <c r="CF12" t="e">
        <f>AND('Discovery-Processing-QC feature'!A415,"AAAAAFb/v1M=")</f>
        <v>#VALUE!</v>
      </c>
      <c r="CG12" t="e">
        <f>AND('Discovery-Processing-QC feature'!B415,"AAAAAFb/v1Q=")</f>
        <v>#VALUE!</v>
      </c>
      <c r="CH12" t="e">
        <f>AND('Discovery-Processing-QC feature'!C415,"AAAAAFb/v1U=")</f>
        <v>#VALUE!</v>
      </c>
      <c r="CI12" t="e">
        <f>AND('Discovery-Processing-QC feature'!D415,"AAAAAFb/v1Y=")</f>
        <v>#VALUE!</v>
      </c>
      <c r="CJ12" t="e">
        <f>AND('Discovery-Processing-QC feature'!E415,"AAAAAFb/v1c=")</f>
        <v>#VALUE!</v>
      </c>
      <c r="CK12" t="e">
        <f>AND('Discovery-Processing-QC feature'!F415,"AAAAAFb/v1g=")</f>
        <v>#VALUE!</v>
      </c>
      <c r="CL12">
        <f>IF('Discovery-Processing-QC feature'!416:416,"AAAAAFb/v1k=",0)</f>
        <v>0</v>
      </c>
      <c r="CM12" t="e">
        <f>AND('Discovery-Processing-QC feature'!A416,"AAAAAFb/v1o=")</f>
        <v>#VALUE!</v>
      </c>
      <c r="CN12" t="e">
        <f>AND('Discovery-Processing-QC feature'!B416,"AAAAAFb/v1s=")</f>
        <v>#VALUE!</v>
      </c>
      <c r="CO12" t="e">
        <f>AND('Discovery-Processing-QC feature'!C416,"AAAAAFb/v1w=")</f>
        <v>#VALUE!</v>
      </c>
      <c r="CP12" t="e">
        <f>AND('Discovery-Processing-QC feature'!D416,"AAAAAFb/v10=")</f>
        <v>#VALUE!</v>
      </c>
      <c r="CQ12" t="e">
        <f>AND('Discovery-Processing-QC feature'!E416,"AAAAAFb/v14=")</f>
        <v>#VALUE!</v>
      </c>
      <c r="CR12" t="e">
        <f>AND('Discovery-Processing-QC feature'!F416,"AAAAAFb/v18=")</f>
        <v>#VALUE!</v>
      </c>
      <c r="CS12">
        <f>IF('Discovery-Processing-QC feature'!417:417,"AAAAAFb/v2A=",0)</f>
        <v>0</v>
      </c>
      <c r="CT12" t="e">
        <f>AND('Discovery-Processing-QC feature'!A417,"AAAAAFb/v2E=")</f>
        <v>#VALUE!</v>
      </c>
      <c r="CU12" t="e">
        <f>AND('Discovery-Processing-QC feature'!B417,"AAAAAFb/v2I=")</f>
        <v>#VALUE!</v>
      </c>
      <c r="CV12" t="e">
        <f>AND('Discovery-Processing-QC feature'!C417,"AAAAAFb/v2M=")</f>
        <v>#VALUE!</v>
      </c>
      <c r="CW12" t="e">
        <f>AND('Discovery-Processing-QC feature'!D417,"AAAAAFb/v2Q=")</f>
        <v>#VALUE!</v>
      </c>
      <c r="CX12" t="e">
        <f>AND('Discovery-Processing-QC feature'!E417,"AAAAAFb/v2U=")</f>
        <v>#VALUE!</v>
      </c>
      <c r="CY12" t="e">
        <f>AND('Discovery-Processing-QC feature'!F417,"AAAAAFb/v2Y=")</f>
        <v>#VALUE!</v>
      </c>
      <c r="CZ12">
        <f>IF('Discovery-Processing-QC feature'!418:418,"AAAAAFb/v2c=",0)</f>
        <v>0</v>
      </c>
      <c r="DA12" t="e">
        <f>AND('Discovery-Processing-QC feature'!A418,"AAAAAFb/v2g=")</f>
        <v>#VALUE!</v>
      </c>
      <c r="DB12" t="e">
        <f>AND('Discovery-Processing-QC feature'!B418,"AAAAAFb/v2k=")</f>
        <v>#VALUE!</v>
      </c>
      <c r="DC12" t="e">
        <f>AND('Discovery-Processing-QC feature'!C418,"AAAAAFb/v2o=")</f>
        <v>#VALUE!</v>
      </c>
      <c r="DD12" t="e">
        <f>AND('Discovery-Processing-QC feature'!D418,"AAAAAFb/v2s=")</f>
        <v>#VALUE!</v>
      </c>
      <c r="DE12" t="e">
        <f>AND('Discovery-Processing-QC feature'!E418,"AAAAAFb/v2w=")</f>
        <v>#VALUE!</v>
      </c>
      <c r="DF12" t="e">
        <f>AND('Discovery-Processing-QC feature'!F418,"AAAAAFb/v20=")</f>
        <v>#VALUE!</v>
      </c>
      <c r="DG12">
        <f>IF('Discovery-Processing-QC feature'!419:419,"AAAAAFb/v24=",0)</f>
        <v>0</v>
      </c>
      <c r="DH12" t="e">
        <f>AND('Discovery-Processing-QC feature'!A419,"AAAAAFb/v28=")</f>
        <v>#VALUE!</v>
      </c>
      <c r="DI12" t="e">
        <f>AND('Discovery-Processing-QC feature'!B419,"AAAAAFb/v3A=")</f>
        <v>#VALUE!</v>
      </c>
      <c r="DJ12" t="e">
        <f>AND('Discovery-Processing-QC feature'!C419,"AAAAAFb/v3E=")</f>
        <v>#VALUE!</v>
      </c>
      <c r="DK12" t="e">
        <f>AND('Discovery-Processing-QC feature'!D419,"AAAAAFb/v3I=")</f>
        <v>#VALUE!</v>
      </c>
      <c r="DL12" t="e">
        <f>AND('Discovery-Processing-QC feature'!E419,"AAAAAFb/v3M=")</f>
        <v>#VALUE!</v>
      </c>
      <c r="DM12" t="e">
        <f>AND('Discovery-Processing-QC feature'!F419,"AAAAAFb/v3Q=")</f>
        <v>#VALUE!</v>
      </c>
      <c r="DN12">
        <f>IF('Discovery-Processing-QC feature'!420:420,"AAAAAFb/v3U=",0)</f>
        <v>0</v>
      </c>
      <c r="DO12" t="e">
        <f>AND('Discovery-Processing-QC feature'!A420,"AAAAAFb/v3Y=")</f>
        <v>#VALUE!</v>
      </c>
      <c r="DP12" t="e">
        <f>AND('Discovery-Processing-QC feature'!B420,"AAAAAFb/v3c=")</f>
        <v>#VALUE!</v>
      </c>
      <c r="DQ12" t="e">
        <f>AND('Discovery-Processing-QC feature'!C420,"AAAAAFb/v3g=")</f>
        <v>#VALUE!</v>
      </c>
      <c r="DR12" t="e">
        <f>AND('Discovery-Processing-QC feature'!D420,"AAAAAFb/v3k=")</f>
        <v>#VALUE!</v>
      </c>
      <c r="DS12" t="e">
        <f>AND('Discovery-Processing-QC feature'!E420,"AAAAAFb/v3o=")</f>
        <v>#VALUE!</v>
      </c>
      <c r="DT12" t="e">
        <f>AND('Discovery-Processing-QC feature'!F420,"AAAAAFb/v3s=")</f>
        <v>#VALUE!</v>
      </c>
      <c r="DU12">
        <f>IF('Discovery-Processing-QC feature'!421:421,"AAAAAFb/v3w=",0)</f>
        <v>0</v>
      </c>
      <c r="DV12" t="e">
        <f>AND('Discovery-Processing-QC feature'!A421,"AAAAAFb/v30=")</f>
        <v>#VALUE!</v>
      </c>
      <c r="DW12" t="e">
        <f>AND('Discovery-Processing-QC feature'!B421,"AAAAAFb/v34=")</f>
        <v>#VALUE!</v>
      </c>
      <c r="DX12" t="e">
        <f>AND('Discovery-Processing-QC feature'!C421,"AAAAAFb/v38=")</f>
        <v>#VALUE!</v>
      </c>
      <c r="DY12" t="e">
        <f>AND('Discovery-Processing-QC feature'!D421,"AAAAAFb/v4A=")</f>
        <v>#VALUE!</v>
      </c>
      <c r="DZ12" t="e">
        <f>AND('Discovery-Processing-QC feature'!E421,"AAAAAFb/v4E=")</f>
        <v>#VALUE!</v>
      </c>
      <c r="EA12" t="e">
        <f>AND('Discovery-Processing-QC feature'!F421,"AAAAAFb/v4I=")</f>
        <v>#VALUE!</v>
      </c>
      <c r="EB12">
        <f>IF('Discovery-Processing-QC feature'!422:422,"AAAAAFb/v4M=",0)</f>
        <v>0</v>
      </c>
      <c r="EC12" t="e">
        <f>AND('Discovery-Processing-QC feature'!A422,"AAAAAFb/v4Q=")</f>
        <v>#VALUE!</v>
      </c>
      <c r="ED12" t="e">
        <f>AND('Discovery-Processing-QC feature'!B422,"AAAAAFb/v4U=")</f>
        <v>#VALUE!</v>
      </c>
      <c r="EE12" t="e">
        <f>AND('Discovery-Processing-QC feature'!C422,"AAAAAFb/v4Y=")</f>
        <v>#VALUE!</v>
      </c>
      <c r="EF12" t="e">
        <f>AND('Discovery-Processing-QC feature'!D422,"AAAAAFb/v4c=")</f>
        <v>#VALUE!</v>
      </c>
      <c r="EG12" t="e">
        <f>AND('Discovery-Processing-QC feature'!E422,"AAAAAFb/v4g=")</f>
        <v>#VALUE!</v>
      </c>
      <c r="EH12" t="e">
        <f>AND('Discovery-Processing-QC feature'!F422,"AAAAAFb/v4k=")</f>
        <v>#VALUE!</v>
      </c>
      <c r="EI12">
        <f>IF('Discovery-Processing-QC feature'!423:423,"AAAAAFb/v4o=",0)</f>
        <v>0</v>
      </c>
      <c r="EJ12" t="e">
        <f>AND('Discovery-Processing-QC feature'!A423,"AAAAAFb/v4s=")</f>
        <v>#VALUE!</v>
      </c>
      <c r="EK12" t="e">
        <f>AND('Discovery-Processing-QC feature'!B423,"AAAAAFb/v4w=")</f>
        <v>#VALUE!</v>
      </c>
      <c r="EL12" t="e">
        <f>AND('Discovery-Processing-QC feature'!C423,"AAAAAFb/v40=")</f>
        <v>#VALUE!</v>
      </c>
      <c r="EM12" t="e">
        <f>AND('Discovery-Processing-QC feature'!D423,"AAAAAFb/v44=")</f>
        <v>#VALUE!</v>
      </c>
      <c r="EN12" t="e">
        <f>AND('Discovery-Processing-QC feature'!E423,"AAAAAFb/v48=")</f>
        <v>#VALUE!</v>
      </c>
      <c r="EO12" t="e">
        <f>AND('Discovery-Processing-QC feature'!F423,"AAAAAFb/v5A=")</f>
        <v>#VALUE!</v>
      </c>
      <c r="EP12">
        <f>IF('Discovery-Processing-QC feature'!424:424,"AAAAAFb/v5E=",0)</f>
        <v>0</v>
      </c>
      <c r="EQ12" t="e">
        <f>AND('Discovery-Processing-QC feature'!A424,"AAAAAFb/v5I=")</f>
        <v>#VALUE!</v>
      </c>
      <c r="ER12" t="e">
        <f>AND('Discovery-Processing-QC feature'!B424,"AAAAAFb/v5M=")</f>
        <v>#VALUE!</v>
      </c>
      <c r="ES12" t="e">
        <f>AND('Discovery-Processing-QC feature'!C424,"AAAAAFb/v5Q=")</f>
        <v>#VALUE!</v>
      </c>
      <c r="ET12" t="e">
        <f>AND('Discovery-Processing-QC feature'!D424,"AAAAAFb/v5U=")</f>
        <v>#VALUE!</v>
      </c>
      <c r="EU12" t="e">
        <f>AND('Discovery-Processing-QC feature'!E424,"AAAAAFb/v5Y=")</f>
        <v>#VALUE!</v>
      </c>
      <c r="EV12" t="e">
        <f>AND('Discovery-Processing-QC feature'!F424,"AAAAAFb/v5c=")</f>
        <v>#VALUE!</v>
      </c>
      <c r="EW12">
        <f>IF('Discovery-Processing-QC feature'!425:425,"AAAAAFb/v5g=",0)</f>
        <v>0</v>
      </c>
      <c r="EX12" t="e">
        <f>AND('Discovery-Processing-QC feature'!A425,"AAAAAFb/v5k=")</f>
        <v>#VALUE!</v>
      </c>
      <c r="EY12" t="e">
        <f>AND('Discovery-Processing-QC feature'!B425,"AAAAAFb/v5o=")</f>
        <v>#VALUE!</v>
      </c>
      <c r="EZ12" t="e">
        <f>AND('Discovery-Processing-QC feature'!C425,"AAAAAFb/v5s=")</f>
        <v>#VALUE!</v>
      </c>
      <c r="FA12" t="e">
        <f>AND('Discovery-Processing-QC feature'!D425,"AAAAAFb/v5w=")</f>
        <v>#VALUE!</v>
      </c>
      <c r="FB12" t="e">
        <f>AND('Discovery-Processing-QC feature'!E425,"AAAAAFb/v50=")</f>
        <v>#VALUE!</v>
      </c>
      <c r="FC12" t="e">
        <f>AND('Discovery-Processing-QC feature'!F425,"AAAAAFb/v54=")</f>
        <v>#VALUE!</v>
      </c>
      <c r="FD12">
        <f>IF('Discovery-Processing-QC feature'!426:426,"AAAAAFb/v58=",0)</f>
        <v>0</v>
      </c>
      <c r="FE12" t="e">
        <f>AND('Discovery-Processing-QC feature'!A426,"AAAAAFb/v6A=")</f>
        <v>#VALUE!</v>
      </c>
      <c r="FF12" t="e">
        <f>AND('Discovery-Processing-QC feature'!B426,"AAAAAFb/v6E=")</f>
        <v>#VALUE!</v>
      </c>
      <c r="FG12" t="e">
        <f>AND('Discovery-Processing-QC feature'!C426,"AAAAAFb/v6I=")</f>
        <v>#VALUE!</v>
      </c>
      <c r="FH12" t="e">
        <f>AND('Discovery-Processing-QC feature'!D426,"AAAAAFb/v6M=")</f>
        <v>#VALUE!</v>
      </c>
      <c r="FI12" t="e">
        <f>AND('Discovery-Processing-QC feature'!E426,"AAAAAFb/v6Q=")</f>
        <v>#VALUE!</v>
      </c>
      <c r="FJ12" t="e">
        <f>AND('Discovery-Processing-QC feature'!F426,"AAAAAFb/v6U=")</f>
        <v>#VALUE!</v>
      </c>
      <c r="FK12">
        <f>IF('Discovery-Processing-QC feature'!427:427,"AAAAAFb/v6Y=",0)</f>
        <v>0</v>
      </c>
      <c r="FL12" t="e">
        <f>AND('Discovery-Processing-QC feature'!A427,"AAAAAFb/v6c=")</f>
        <v>#VALUE!</v>
      </c>
      <c r="FM12" t="e">
        <f>AND('Discovery-Processing-QC feature'!B427,"AAAAAFb/v6g=")</f>
        <v>#VALUE!</v>
      </c>
      <c r="FN12" t="e">
        <f>AND('Discovery-Processing-QC feature'!C427,"AAAAAFb/v6k=")</f>
        <v>#VALUE!</v>
      </c>
      <c r="FO12" t="e">
        <f>AND('Discovery-Processing-QC feature'!D427,"AAAAAFb/v6o=")</f>
        <v>#VALUE!</v>
      </c>
      <c r="FP12" t="e">
        <f>AND('Discovery-Processing-QC feature'!E427,"AAAAAFb/v6s=")</f>
        <v>#VALUE!</v>
      </c>
      <c r="FQ12" t="e">
        <f>AND('Discovery-Processing-QC feature'!F427,"AAAAAFb/v6w=")</f>
        <v>#VALUE!</v>
      </c>
      <c r="FR12">
        <f>IF('Discovery-Processing-QC feature'!428:428,"AAAAAFb/v60=",0)</f>
        <v>0</v>
      </c>
      <c r="FS12" t="e">
        <f>AND('Discovery-Processing-QC feature'!A428,"AAAAAFb/v64=")</f>
        <v>#VALUE!</v>
      </c>
      <c r="FT12" t="e">
        <f>AND('Discovery-Processing-QC feature'!B428,"AAAAAFb/v68=")</f>
        <v>#VALUE!</v>
      </c>
      <c r="FU12" t="e">
        <f>AND('Discovery-Processing-QC feature'!C428,"AAAAAFb/v7A=")</f>
        <v>#VALUE!</v>
      </c>
      <c r="FV12" t="e">
        <f>AND('Discovery-Processing-QC feature'!D428,"AAAAAFb/v7E=")</f>
        <v>#VALUE!</v>
      </c>
      <c r="FW12" t="e">
        <f>AND('Discovery-Processing-QC feature'!E428,"AAAAAFb/v7I=")</f>
        <v>#VALUE!</v>
      </c>
      <c r="FX12" t="e">
        <f>AND('Discovery-Processing-QC feature'!F428,"AAAAAFb/v7M=")</f>
        <v>#VALUE!</v>
      </c>
      <c r="FY12">
        <f>IF('Discovery-Processing-QC feature'!429:429,"AAAAAFb/v7Q=",0)</f>
        <v>0</v>
      </c>
      <c r="FZ12" t="e">
        <f>AND('Discovery-Processing-QC feature'!A429,"AAAAAFb/v7U=")</f>
        <v>#VALUE!</v>
      </c>
      <c r="GA12" t="e">
        <f>AND('Discovery-Processing-QC feature'!B429,"AAAAAFb/v7Y=")</f>
        <v>#VALUE!</v>
      </c>
      <c r="GB12" t="e">
        <f>AND('Discovery-Processing-QC feature'!C429,"AAAAAFb/v7c=")</f>
        <v>#VALUE!</v>
      </c>
      <c r="GC12" t="e">
        <f>AND('Discovery-Processing-QC feature'!D429,"AAAAAFb/v7g=")</f>
        <v>#VALUE!</v>
      </c>
      <c r="GD12" t="e">
        <f>AND('Discovery-Processing-QC feature'!E429,"AAAAAFb/v7k=")</f>
        <v>#VALUE!</v>
      </c>
      <c r="GE12" t="e">
        <f>AND('Discovery-Processing-QC feature'!F429,"AAAAAFb/v7o=")</f>
        <v>#VALUE!</v>
      </c>
      <c r="GF12">
        <f>IF('Discovery-Processing-QC feature'!430:430,"AAAAAFb/v7s=",0)</f>
        <v>0</v>
      </c>
      <c r="GG12" t="e">
        <f>AND('Discovery-Processing-QC feature'!A430,"AAAAAFb/v7w=")</f>
        <v>#VALUE!</v>
      </c>
      <c r="GH12" t="e">
        <f>AND('Discovery-Processing-QC feature'!B430,"AAAAAFb/v70=")</f>
        <v>#VALUE!</v>
      </c>
      <c r="GI12" t="e">
        <f>AND('Discovery-Processing-QC feature'!C430,"AAAAAFb/v74=")</f>
        <v>#VALUE!</v>
      </c>
      <c r="GJ12" t="e">
        <f>AND('Discovery-Processing-QC feature'!D430,"AAAAAFb/v78=")</f>
        <v>#VALUE!</v>
      </c>
      <c r="GK12" t="e">
        <f>AND('Discovery-Processing-QC feature'!E430,"AAAAAFb/v8A=")</f>
        <v>#VALUE!</v>
      </c>
      <c r="GL12" t="e">
        <f>AND('Discovery-Processing-QC feature'!F430,"AAAAAFb/v8E=")</f>
        <v>#VALUE!</v>
      </c>
      <c r="GM12">
        <f>IF('Discovery-Processing-QC feature'!431:431,"AAAAAFb/v8I=",0)</f>
        <v>0</v>
      </c>
      <c r="GN12" t="e">
        <f>AND('Discovery-Processing-QC feature'!A431,"AAAAAFb/v8M=")</f>
        <v>#VALUE!</v>
      </c>
      <c r="GO12" t="e">
        <f>AND('Discovery-Processing-QC feature'!B431,"AAAAAFb/v8Q=")</f>
        <v>#VALUE!</v>
      </c>
      <c r="GP12" t="e">
        <f>AND('Discovery-Processing-QC feature'!C431,"AAAAAFb/v8U=")</f>
        <v>#VALUE!</v>
      </c>
      <c r="GQ12" t="e">
        <f>AND('Discovery-Processing-QC feature'!D431,"AAAAAFb/v8Y=")</f>
        <v>#VALUE!</v>
      </c>
      <c r="GR12" t="e">
        <f>AND('Discovery-Processing-QC feature'!E431,"AAAAAFb/v8c=")</f>
        <v>#VALUE!</v>
      </c>
      <c r="GS12" t="e">
        <f>AND('Discovery-Processing-QC feature'!F431,"AAAAAFb/v8g=")</f>
        <v>#VALUE!</v>
      </c>
      <c r="GT12">
        <f>IF('Discovery-Processing-QC feature'!432:432,"AAAAAFb/v8k=",0)</f>
        <v>0</v>
      </c>
      <c r="GU12" t="e">
        <f>AND('Discovery-Processing-QC feature'!A432,"AAAAAFb/v8o=")</f>
        <v>#VALUE!</v>
      </c>
      <c r="GV12" t="e">
        <f>AND('Discovery-Processing-QC feature'!B432,"AAAAAFb/v8s=")</f>
        <v>#VALUE!</v>
      </c>
      <c r="GW12" t="e">
        <f>AND('Discovery-Processing-QC feature'!C432,"AAAAAFb/v8w=")</f>
        <v>#VALUE!</v>
      </c>
      <c r="GX12" t="e">
        <f>AND('Discovery-Processing-QC feature'!D432,"AAAAAFb/v80=")</f>
        <v>#VALUE!</v>
      </c>
      <c r="GY12" t="e">
        <f>AND('Discovery-Processing-QC feature'!E432,"AAAAAFb/v84=")</f>
        <v>#VALUE!</v>
      </c>
      <c r="GZ12" t="e">
        <f>AND('Discovery-Processing-QC feature'!F432,"AAAAAFb/v88=")</f>
        <v>#VALUE!</v>
      </c>
      <c r="HA12">
        <f>IF('Discovery-Processing-QC feature'!433:433,"AAAAAFb/v9A=",0)</f>
        <v>0</v>
      </c>
      <c r="HB12" t="e">
        <f>AND('Discovery-Processing-QC feature'!A433,"AAAAAFb/v9E=")</f>
        <v>#VALUE!</v>
      </c>
      <c r="HC12" t="e">
        <f>AND('Discovery-Processing-QC feature'!B433,"AAAAAFb/v9I=")</f>
        <v>#VALUE!</v>
      </c>
      <c r="HD12" t="e">
        <f>AND('Discovery-Processing-QC feature'!C433,"AAAAAFb/v9M=")</f>
        <v>#VALUE!</v>
      </c>
      <c r="HE12" t="e">
        <f>AND('Discovery-Processing-QC feature'!D433,"AAAAAFb/v9Q=")</f>
        <v>#VALUE!</v>
      </c>
      <c r="HF12" t="e">
        <f>AND('Discovery-Processing-QC feature'!E433,"AAAAAFb/v9U=")</f>
        <v>#VALUE!</v>
      </c>
      <c r="HG12" t="e">
        <f>AND('Discovery-Processing-QC feature'!F433,"AAAAAFb/v9Y=")</f>
        <v>#VALUE!</v>
      </c>
      <c r="HH12">
        <f>IF('Discovery-Processing-QC feature'!434:434,"AAAAAFb/v9c=",0)</f>
        <v>0</v>
      </c>
      <c r="HI12" t="e">
        <f>AND('Discovery-Processing-QC feature'!A434,"AAAAAFb/v9g=")</f>
        <v>#VALUE!</v>
      </c>
      <c r="HJ12" t="e">
        <f>AND('Discovery-Processing-QC feature'!B434,"AAAAAFb/v9k=")</f>
        <v>#VALUE!</v>
      </c>
      <c r="HK12" t="e">
        <f>AND('Discovery-Processing-QC feature'!C434,"AAAAAFb/v9o=")</f>
        <v>#VALUE!</v>
      </c>
      <c r="HL12" t="e">
        <f>AND('Discovery-Processing-QC feature'!D434,"AAAAAFb/v9s=")</f>
        <v>#VALUE!</v>
      </c>
      <c r="HM12" t="e">
        <f>AND('Discovery-Processing-QC feature'!E434,"AAAAAFb/v9w=")</f>
        <v>#VALUE!</v>
      </c>
      <c r="HN12" t="e">
        <f>AND('Discovery-Processing-QC feature'!F434,"AAAAAFb/v90=")</f>
        <v>#VALUE!</v>
      </c>
      <c r="HO12">
        <f>IF('Discovery-Processing-QC feature'!435:435,"AAAAAFb/v94=",0)</f>
        <v>0</v>
      </c>
      <c r="HP12" t="e">
        <f>AND('Discovery-Processing-QC feature'!A435,"AAAAAFb/v98=")</f>
        <v>#VALUE!</v>
      </c>
      <c r="HQ12" t="e">
        <f>AND('Discovery-Processing-QC feature'!B435,"AAAAAFb/v+A=")</f>
        <v>#VALUE!</v>
      </c>
      <c r="HR12" t="e">
        <f>AND('Discovery-Processing-QC feature'!C435,"AAAAAFb/v+E=")</f>
        <v>#VALUE!</v>
      </c>
      <c r="HS12" t="e">
        <f>AND('Discovery-Processing-QC feature'!D435,"AAAAAFb/v+I=")</f>
        <v>#VALUE!</v>
      </c>
      <c r="HT12" t="e">
        <f>AND('Discovery-Processing-QC feature'!E435,"AAAAAFb/v+M=")</f>
        <v>#VALUE!</v>
      </c>
      <c r="HU12" t="e">
        <f>AND('Discovery-Processing-QC feature'!F435,"AAAAAFb/v+Q=")</f>
        <v>#VALUE!</v>
      </c>
      <c r="HV12">
        <f>IF('Discovery-Processing-QC feature'!436:436,"AAAAAFb/v+U=",0)</f>
        <v>0</v>
      </c>
      <c r="HW12" t="e">
        <f>AND('Discovery-Processing-QC feature'!A436,"AAAAAFb/v+Y=")</f>
        <v>#VALUE!</v>
      </c>
      <c r="HX12" t="e">
        <f>AND('Discovery-Processing-QC feature'!B436,"AAAAAFb/v+c=")</f>
        <v>#VALUE!</v>
      </c>
      <c r="HY12" t="e">
        <f>AND('Discovery-Processing-QC feature'!C436,"AAAAAFb/v+g=")</f>
        <v>#VALUE!</v>
      </c>
      <c r="HZ12" t="e">
        <f>AND('Discovery-Processing-QC feature'!D436,"AAAAAFb/v+k=")</f>
        <v>#VALUE!</v>
      </c>
      <c r="IA12" t="e">
        <f>AND('Discovery-Processing-QC feature'!E436,"AAAAAFb/v+o=")</f>
        <v>#VALUE!</v>
      </c>
      <c r="IB12" t="e">
        <f>AND('Discovery-Processing-QC feature'!F436,"AAAAAFb/v+s=")</f>
        <v>#VALUE!</v>
      </c>
      <c r="IC12">
        <f>IF('Discovery-Processing-QC feature'!437:437,"AAAAAFb/v+w=",0)</f>
        <v>0</v>
      </c>
      <c r="ID12" t="e">
        <f>AND('Discovery-Processing-QC feature'!A437,"AAAAAFb/v+0=")</f>
        <v>#VALUE!</v>
      </c>
      <c r="IE12" t="e">
        <f>AND('Discovery-Processing-QC feature'!B437,"AAAAAFb/v+4=")</f>
        <v>#VALUE!</v>
      </c>
      <c r="IF12" t="e">
        <f>AND('Discovery-Processing-QC feature'!C437,"AAAAAFb/v+8=")</f>
        <v>#VALUE!</v>
      </c>
      <c r="IG12" t="e">
        <f>AND('Discovery-Processing-QC feature'!D437,"AAAAAFb/v/A=")</f>
        <v>#VALUE!</v>
      </c>
      <c r="IH12" t="e">
        <f>AND('Discovery-Processing-QC feature'!E437,"AAAAAFb/v/E=")</f>
        <v>#VALUE!</v>
      </c>
      <c r="II12" t="e">
        <f>AND('Discovery-Processing-QC feature'!F437,"AAAAAFb/v/I=")</f>
        <v>#VALUE!</v>
      </c>
      <c r="IJ12">
        <f>IF('Discovery-Processing-QC feature'!438:438,"AAAAAFb/v/M=",0)</f>
        <v>0</v>
      </c>
      <c r="IK12" t="e">
        <f>AND('Discovery-Processing-QC feature'!A438,"AAAAAFb/v/Q=")</f>
        <v>#VALUE!</v>
      </c>
      <c r="IL12" t="e">
        <f>AND('Discovery-Processing-QC feature'!B438,"AAAAAFb/v/U=")</f>
        <v>#VALUE!</v>
      </c>
      <c r="IM12" t="e">
        <f>AND('Discovery-Processing-QC feature'!C438,"AAAAAFb/v/Y=")</f>
        <v>#VALUE!</v>
      </c>
      <c r="IN12" t="e">
        <f>AND('Discovery-Processing-QC feature'!D438,"AAAAAFb/v/c=")</f>
        <v>#VALUE!</v>
      </c>
      <c r="IO12" t="e">
        <f>AND('Discovery-Processing-QC feature'!E438,"AAAAAFb/v/g=")</f>
        <v>#VALUE!</v>
      </c>
      <c r="IP12" t="e">
        <f>AND('Discovery-Processing-QC feature'!F438,"AAAAAFb/v/k=")</f>
        <v>#VALUE!</v>
      </c>
      <c r="IQ12">
        <f>IF('Discovery-Processing-QC feature'!439:439,"AAAAAFb/v/o=",0)</f>
        <v>0</v>
      </c>
      <c r="IR12" t="e">
        <f>AND('Discovery-Processing-QC feature'!A439,"AAAAAFb/v/s=")</f>
        <v>#VALUE!</v>
      </c>
      <c r="IS12" t="e">
        <f>AND('Discovery-Processing-QC feature'!B439,"AAAAAFb/v/w=")</f>
        <v>#VALUE!</v>
      </c>
      <c r="IT12" t="e">
        <f>AND('Discovery-Processing-QC feature'!C439,"AAAAAFb/v/0=")</f>
        <v>#VALUE!</v>
      </c>
      <c r="IU12" t="e">
        <f>AND('Discovery-Processing-QC feature'!D439,"AAAAAFb/v/4=")</f>
        <v>#VALUE!</v>
      </c>
      <c r="IV12" t="e">
        <f>AND('Discovery-Processing-QC feature'!E439,"AAAAAFb/v/8=")</f>
        <v>#VALUE!</v>
      </c>
    </row>
    <row r="13" spans="1:256" x14ac:dyDescent="0.2">
      <c r="A13" t="e">
        <f>AND('Discovery-Processing-QC feature'!F439,"AAAAAGkXDQA=")</f>
        <v>#VALUE!</v>
      </c>
      <c r="B13" t="e">
        <f>IF('Discovery-Processing-QC feature'!440:440,"AAAAAGkXDQE=",0)</f>
        <v>#VALUE!</v>
      </c>
      <c r="C13" t="e">
        <f>AND('Discovery-Processing-QC feature'!A440,"AAAAAGkXDQI=")</f>
        <v>#VALUE!</v>
      </c>
      <c r="D13" t="e">
        <f>AND('Discovery-Processing-QC feature'!B440,"AAAAAGkXDQM=")</f>
        <v>#VALUE!</v>
      </c>
      <c r="E13" t="e">
        <f>AND('Discovery-Processing-QC feature'!C440,"AAAAAGkXDQQ=")</f>
        <v>#VALUE!</v>
      </c>
      <c r="F13" t="e">
        <f>AND('Discovery-Processing-QC feature'!D440,"AAAAAGkXDQU=")</f>
        <v>#VALUE!</v>
      </c>
      <c r="G13" t="e">
        <f>AND('Discovery-Processing-QC feature'!E440,"AAAAAGkXDQY=")</f>
        <v>#VALUE!</v>
      </c>
      <c r="H13" t="e">
        <f>AND('Discovery-Processing-QC feature'!F440,"AAAAAGkXDQc=")</f>
        <v>#VALUE!</v>
      </c>
      <c r="I13">
        <f>IF('Discovery-Processing-QC feature'!441:441,"AAAAAGkXDQg=",0)</f>
        <v>0</v>
      </c>
      <c r="J13" t="e">
        <f>AND('Discovery-Processing-QC feature'!A441,"AAAAAGkXDQk=")</f>
        <v>#VALUE!</v>
      </c>
      <c r="K13" t="e">
        <f>AND('Discovery-Processing-QC feature'!B441,"AAAAAGkXDQo=")</f>
        <v>#VALUE!</v>
      </c>
      <c r="L13" t="e">
        <f>AND('Discovery-Processing-QC feature'!C441,"AAAAAGkXDQs=")</f>
        <v>#VALUE!</v>
      </c>
      <c r="M13" t="e">
        <f>AND('Discovery-Processing-QC feature'!D441,"AAAAAGkXDQw=")</f>
        <v>#VALUE!</v>
      </c>
      <c r="N13" t="e">
        <f>AND('Discovery-Processing-QC feature'!E441,"AAAAAGkXDQ0=")</f>
        <v>#VALUE!</v>
      </c>
      <c r="O13" t="e">
        <f>AND('Discovery-Processing-QC feature'!F441,"AAAAAGkXDQ4=")</f>
        <v>#VALUE!</v>
      </c>
      <c r="P13">
        <f>IF('Discovery-Processing-QC feature'!442:442,"AAAAAGkXDQ8=",0)</f>
        <v>0</v>
      </c>
      <c r="Q13" t="e">
        <f>AND('Discovery-Processing-QC feature'!A442,"AAAAAGkXDRA=")</f>
        <v>#VALUE!</v>
      </c>
      <c r="R13" t="e">
        <f>AND('Discovery-Processing-QC feature'!B442,"AAAAAGkXDRE=")</f>
        <v>#VALUE!</v>
      </c>
      <c r="S13" t="e">
        <f>AND('Discovery-Processing-QC feature'!C442,"AAAAAGkXDRI=")</f>
        <v>#VALUE!</v>
      </c>
      <c r="T13" t="e">
        <f>AND('Discovery-Processing-QC feature'!D442,"AAAAAGkXDRM=")</f>
        <v>#VALUE!</v>
      </c>
      <c r="U13" t="e">
        <f>AND('Discovery-Processing-QC feature'!E442,"AAAAAGkXDRQ=")</f>
        <v>#VALUE!</v>
      </c>
      <c r="V13" t="e">
        <f>AND('Discovery-Processing-QC feature'!F442,"AAAAAGkXDRU=")</f>
        <v>#VALUE!</v>
      </c>
      <c r="W13">
        <f>IF('Discovery-Processing-QC feature'!443:443,"AAAAAGkXDRY=",0)</f>
        <v>0</v>
      </c>
      <c r="X13" t="e">
        <f>AND('Discovery-Processing-QC feature'!A443,"AAAAAGkXDRc=")</f>
        <v>#VALUE!</v>
      </c>
      <c r="Y13" t="e">
        <f>AND('Discovery-Processing-QC feature'!B443,"AAAAAGkXDRg=")</f>
        <v>#VALUE!</v>
      </c>
      <c r="Z13" t="e">
        <f>AND('Discovery-Processing-QC feature'!C443,"AAAAAGkXDRk=")</f>
        <v>#VALUE!</v>
      </c>
      <c r="AA13" t="e">
        <f>AND('Discovery-Processing-QC feature'!D443,"AAAAAGkXDRo=")</f>
        <v>#VALUE!</v>
      </c>
      <c r="AB13" t="e">
        <f>AND('Discovery-Processing-QC feature'!E443,"AAAAAGkXDRs=")</f>
        <v>#VALUE!</v>
      </c>
      <c r="AC13" t="e">
        <f>AND('Discovery-Processing-QC feature'!F443,"AAAAAGkXDRw=")</f>
        <v>#VALUE!</v>
      </c>
      <c r="AD13">
        <f>IF('Discovery-Processing-QC feature'!444:444,"AAAAAGkXDR0=",0)</f>
        <v>0</v>
      </c>
      <c r="AE13" t="e">
        <f>AND('Discovery-Processing-QC feature'!A444,"AAAAAGkXDR4=")</f>
        <v>#VALUE!</v>
      </c>
      <c r="AF13" t="e">
        <f>AND('Discovery-Processing-QC feature'!B444,"AAAAAGkXDR8=")</f>
        <v>#VALUE!</v>
      </c>
      <c r="AG13" t="e">
        <f>AND('Discovery-Processing-QC feature'!C444,"AAAAAGkXDSA=")</f>
        <v>#VALUE!</v>
      </c>
      <c r="AH13" t="e">
        <f>AND('Discovery-Processing-QC feature'!D444,"AAAAAGkXDSE=")</f>
        <v>#VALUE!</v>
      </c>
      <c r="AI13" t="e">
        <f>AND('Discovery-Processing-QC feature'!E444,"AAAAAGkXDSI=")</f>
        <v>#VALUE!</v>
      </c>
      <c r="AJ13" t="e">
        <f>AND('Discovery-Processing-QC feature'!F444,"AAAAAGkXDSM=")</f>
        <v>#VALUE!</v>
      </c>
      <c r="AK13">
        <f>IF('Discovery-Processing-QC feature'!445:445,"AAAAAGkXDSQ=",0)</f>
        <v>0</v>
      </c>
      <c r="AL13" t="e">
        <f>AND('Discovery-Processing-QC feature'!A445,"AAAAAGkXDSU=")</f>
        <v>#VALUE!</v>
      </c>
      <c r="AM13" t="e">
        <f>AND('Discovery-Processing-QC feature'!B445,"AAAAAGkXDSY=")</f>
        <v>#VALUE!</v>
      </c>
      <c r="AN13" t="e">
        <f>AND('Discovery-Processing-QC feature'!C445,"AAAAAGkXDSc=")</f>
        <v>#VALUE!</v>
      </c>
      <c r="AO13" t="e">
        <f>AND('Discovery-Processing-QC feature'!D445,"AAAAAGkXDSg=")</f>
        <v>#VALUE!</v>
      </c>
      <c r="AP13" t="e">
        <f>AND('Discovery-Processing-QC feature'!E445,"AAAAAGkXDSk=")</f>
        <v>#VALUE!</v>
      </c>
      <c r="AQ13" t="e">
        <f>AND('Discovery-Processing-QC feature'!F445,"AAAAAGkXDSo=")</f>
        <v>#VALUE!</v>
      </c>
      <c r="AR13">
        <f>IF('Discovery-Processing-QC feature'!446:446,"AAAAAGkXDSs=",0)</f>
        <v>0</v>
      </c>
      <c r="AS13" t="e">
        <f>AND('Discovery-Processing-QC feature'!A446,"AAAAAGkXDSw=")</f>
        <v>#VALUE!</v>
      </c>
      <c r="AT13" t="e">
        <f>AND('Discovery-Processing-QC feature'!B446,"AAAAAGkXDS0=")</f>
        <v>#VALUE!</v>
      </c>
      <c r="AU13" t="e">
        <f>AND('Discovery-Processing-QC feature'!C446,"AAAAAGkXDS4=")</f>
        <v>#VALUE!</v>
      </c>
      <c r="AV13" t="e">
        <f>AND('Discovery-Processing-QC feature'!D446,"AAAAAGkXDS8=")</f>
        <v>#VALUE!</v>
      </c>
      <c r="AW13" t="e">
        <f>AND('Discovery-Processing-QC feature'!E446,"AAAAAGkXDTA=")</f>
        <v>#VALUE!</v>
      </c>
      <c r="AX13" t="e">
        <f>AND('Discovery-Processing-QC feature'!F446,"AAAAAGkXDTE=")</f>
        <v>#VALUE!</v>
      </c>
      <c r="AY13">
        <f>IF('Discovery-Processing-QC feature'!447:447,"AAAAAGkXDTI=",0)</f>
        <v>0</v>
      </c>
      <c r="AZ13" t="e">
        <f>AND('Discovery-Processing-QC feature'!A447,"AAAAAGkXDTM=")</f>
        <v>#VALUE!</v>
      </c>
      <c r="BA13" t="e">
        <f>AND('Discovery-Processing-QC feature'!B447,"AAAAAGkXDTQ=")</f>
        <v>#VALUE!</v>
      </c>
      <c r="BB13" t="e">
        <f>AND('Discovery-Processing-QC feature'!C447,"AAAAAGkXDTU=")</f>
        <v>#VALUE!</v>
      </c>
      <c r="BC13" t="e">
        <f>AND('Discovery-Processing-QC feature'!D447,"AAAAAGkXDTY=")</f>
        <v>#VALUE!</v>
      </c>
      <c r="BD13" t="e">
        <f>AND('Discovery-Processing-QC feature'!E447,"AAAAAGkXDTc=")</f>
        <v>#VALUE!</v>
      </c>
      <c r="BE13" t="e">
        <f>AND('Discovery-Processing-QC feature'!F447,"AAAAAGkXDTg=")</f>
        <v>#VALUE!</v>
      </c>
      <c r="BF13">
        <f>IF('Discovery-Processing-QC feature'!448:448,"AAAAAGkXDTk=",0)</f>
        <v>0</v>
      </c>
      <c r="BG13" t="e">
        <f>AND('Discovery-Processing-QC feature'!A448,"AAAAAGkXDTo=")</f>
        <v>#VALUE!</v>
      </c>
      <c r="BH13" t="e">
        <f>AND('Discovery-Processing-QC feature'!B448,"AAAAAGkXDTs=")</f>
        <v>#VALUE!</v>
      </c>
      <c r="BI13" t="e">
        <f>AND('Discovery-Processing-QC feature'!C448,"AAAAAGkXDTw=")</f>
        <v>#VALUE!</v>
      </c>
      <c r="BJ13" t="e">
        <f>AND('Discovery-Processing-QC feature'!D448,"AAAAAGkXDT0=")</f>
        <v>#VALUE!</v>
      </c>
      <c r="BK13" t="e">
        <f>AND('Discovery-Processing-QC feature'!E448,"AAAAAGkXDT4=")</f>
        <v>#VALUE!</v>
      </c>
      <c r="BL13" t="e">
        <f>AND('Discovery-Processing-QC feature'!F448,"AAAAAGkXDT8=")</f>
        <v>#VALUE!</v>
      </c>
      <c r="BM13">
        <f>IF('Discovery-Processing-QC feature'!449:449,"AAAAAGkXDUA=",0)</f>
        <v>0</v>
      </c>
      <c r="BN13" t="e">
        <f>AND('Discovery-Processing-QC feature'!A449,"AAAAAGkXDUE=")</f>
        <v>#VALUE!</v>
      </c>
      <c r="BO13" t="e">
        <f>AND('Discovery-Processing-QC feature'!B449,"AAAAAGkXDUI=")</f>
        <v>#VALUE!</v>
      </c>
      <c r="BP13" t="e">
        <f>AND('Discovery-Processing-QC feature'!C449,"AAAAAGkXDUM=")</f>
        <v>#VALUE!</v>
      </c>
      <c r="BQ13" t="e">
        <f>AND('Discovery-Processing-QC feature'!D449,"AAAAAGkXDUQ=")</f>
        <v>#VALUE!</v>
      </c>
      <c r="BR13" t="e">
        <f>AND('Discovery-Processing-QC feature'!E449,"AAAAAGkXDUU=")</f>
        <v>#VALUE!</v>
      </c>
      <c r="BS13" t="e">
        <f>AND('Discovery-Processing-QC feature'!F449,"AAAAAGkXDUY=")</f>
        <v>#VALUE!</v>
      </c>
      <c r="BT13">
        <f>IF('Discovery-Processing-QC feature'!450:450,"AAAAAGkXDUc=",0)</f>
        <v>0</v>
      </c>
      <c r="BU13" t="e">
        <f>AND('Discovery-Processing-QC feature'!A450,"AAAAAGkXDUg=")</f>
        <v>#VALUE!</v>
      </c>
      <c r="BV13" t="e">
        <f>AND('Discovery-Processing-QC feature'!B450,"AAAAAGkXDUk=")</f>
        <v>#VALUE!</v>
      </c>
      <c r="BW13" t="e">
        <f>AND('Discovery-Processing-QC feature'!C450,"AAAAAGkXDUo=")</f>
        <v>#VALUE!</v>
      </c>
      <c r="BX13" t="e">
        <f>AND('Discovery-Processing-QC feature'!D450,"AAAAAGkXDUs=")</f>
        <v>#VALUE!</v>
      </c>
      <c r="BY13" t="e">
        <f>AND('Discovery-Processing-QC feature'!E450,"AAAAAGkXDUw=")</f>
        <v>#VALUE!</v>
      </c>
      <c r="BZ13" t="e">
        <f>AND('Discovery-Processing-QC feature'!F450,"AAAAAGkXDU0=")</f>
        <v>#VALUE!</v>
      </c>
      <c r="CA13">
        <f>IF('Discovery-Processing-QC feature'!451:451,"AAAAAGkXDU4=",0)</f>
        <v>0</v>
      </c>
      <c r="CB13" t="e">
        <f>AND('Discovery-Processing-QC feature'!A451,"AAAAAGkXDU8=")</f>
        <v>#VALUE!</v>
      </c>
      <c r="CC13" t="e">
        <f>AND('Discovery-Processing-QC feature'!B451,"AAAAAGkXDVA=")</f>
        <v>#VALUE!</v>
      </c>
      <c r="CD13" t="e">
        <f>AND('Discovery-Processing-QC feature'!C451,"AAAAAGkXDVE=")</f>
        <v>#VALUE!</v>
      </c>
      <c r="CE13" t="e">
        <f>AND('Discovery-Processing-QC feature'!D451,"AAAAAGkXDVI=")</f>
        <v>#VALUE!</v>
      </c>
      <c r="CF13" t="e">
        <f>AND('Discovery-Processing-QC feature'!E451,"AAAAAGkXDVM=")</f>
        <v>#VALUE!</v>
      </c>
      <c r="CG13" t="e">
        <f>AND('Discovery-Processing-QC feature'!F451,"AAAAAGkXDVQ=")</f>
        <v>#VALUE!</v>
      </c>
      <c r="CH13">
        <f>IF('Discovery-Processing-QC feature'!452:452,"AAAAAGkXDVU=",0)</f>
        <v>0</v>
      </c>
      <c r="CI13" t="e">
        <f>AND('Discovery-Processing-QC feature'!A452,"AAAAAGkXDVY=")</f>
        <v>#VALUE!</v>
      </c>
      <c r="CJ13" t="e">
        <f>AND('Discovery-Processing-QC feature'!B452,"AAAAAGkXDVc=")</f>
        <v>#VALUE!</v>
      </c>
      <c r="CK13" t="e">
        <f>AND('Discovery-Processing-QC feature'!C452,"AAAAAGkXDVg=")</f>
        <v>#VALUE!</v>
      </c>
      <c r="CL13" t="e">
        <f>AND('Discovery-Processing-QC feature'!D452,"AAAAAGkXDVk=")</f>
        <v>#VALUE!</v>
      </c>
      <c r="CM13" t="e">
        <f>AND('Discovery-Processing-QC feature'!E452,"AAAAAGkXDVo=")</f>
        <v>#VALUE!</v>
      </c>
      <c r="CN13" t="e">
        <f>AND('Discovery-Processing-QC feature'!F452,"AAAAAGkXDVs=")</f>
        <v>#VALUE!</v>
      </c>
      <c r="CO13">
        <f>IF('Discovery-Processing-QC feature'!453:453,"AAAAAGkXDVw=",0)</f>
        <v>0</v>
      </c>
      <c r="CP13" t="e">
        <f>AND('Discovery-Processing-QC feature'!A453,"AAAAAGkXDV0=")</f>
        <v>#VALUE!</v>
      </c>
      <c r="CQ13" t="e">
        <f>AND('Discovery-Processing-QC feature'!B453,"AAAAAGkXDV4=")</f>
        <v>#VALUE!</v>
      </c>
      <c r="CR13" t="e">
        <f>AND('Discovery-Processing-QC feature'!C453,"AAAAAGkXDV8=")</f>
        <v>#VALUE!</v>
      </c>
      <c r="CS13" t="e">
        <f>AND('Discovery-Processing-QC feature'!D453,"AAAAAGkXDWA=")</f>
        <v>#VALUE!</v>
      </c>
      <c r="CT13" t="e">
        <f>AND('Discovery-Processing-QC feature'!E453,"AAAAAGkXDWE=")</f>
        <v>#VALUE!</v>
      </c>
      <c r="CU13" t="e">
        <f>AND('Discovery-Processing-QC feature'!F453,"AAAAAGkXDWI=")</f>
        <v>#VALUE!</v>
      </c>
      <c r="CV13">
        <f>IF('Discovery-Processing-QC feature'!454:454,"AAAAAGkXDWM=",0)</f>
        <v>0</v>
      </c>
      <c r="CW13" t="e">
        <f>AND('Discovery-Processing-QC feature'!A454,"AAAAAGkXDWQ=")</f>
        <v>#VALUE!</v>
      </c>
      <c r="CX13" t="e">
        <f>AND('Discovery-Processing-QC feature'!B454,"AAAAAGkXDWU=")</f>
        <v>#VALUE!</v>
      </c>
      <c r="CY13" t="e">
        <f>AND('Discovery-Processing-QC feature'!C454,"AAAAAGkXDWY=")</f>
        <v>#VALUE!</v>
      </c>
      <c r="CZ13" t="e">
        <f>AND('Discovery-Processing-QC feature'!D454,"AAAAAGkXDWc=")</f>
        <v>#VALUE!</v>
      </c>
      <c r="DA13" t="e">
        <f>AND('Discovery-Processing-QC feature'!E454,"AAAAAGkXDWg=")</f>
        <v>#VALUE!</v>
      </c>
      <c r="DB13" t="e">
        <f>AND('Discovery-Processing-QC feature'!F454,"AAAAAGkXDWk=")</f>
        <v>#VALUE!</v>
      </c>
      <c r="DC13">
        <f>IF('Discovery-Processing-QC feature'!455:455,"AAAAAGkXDWo=",0)</f>
        <v>0</v>
      </c>
      <c r="DD13" t="e">
        <f>AND('Discovery-Processing-QC feature'!A455,"AAAAAGkXDWs=")</f>
        <v>#VALUE!</v>
      </c>
      <c r="DE13" t="e">
        <f>AND('Discovery-Processing-QC feature'!B455,"AAAAAGkXDWw=")</f>
        <v>#VALUE!</v>
      </c>
      <c r="DF13" t="e">
        <f>AND('Discovery-Processing-QC feature'!C455,"AAAAAGkXDW0=")</f>
        <v>#VALUE!</v>
      </c>
      <c r="DG13" t="e">
        <f>AND('Discovery-Processing-QC feature'!D455,"AAAAAGkXDW4=")</f>
        <v>#VALUE!</v>
      </c>
      <c r="DH13" t="e">
        <f>AND('Discovery-Processing-QC feature'!E455,"AAAAAGkXDW8=")</f>
        <v>#VALUE!</v>
      </c>
      <c r="DI13" t="e">
        <f>AND('Discovery-Processing-QC feature'!F455,"AAAAAGkXDXA=")</f>
        <v>#VALUE!</v>
      </c>
      <c r="DJ13">
        <f>IF('Discovery-Processing-QC feature'!456:456,"AAAAAGkXDXE=",0)</f>
        <v>0</v>
      </c>
      <c r="DK13" t="e">
        <f>AND('Discovery-Processing-QC feature'!A456,"AAAAAGkXDXI=")</f>
        <v>#VALUE!</v>
      </c>
      <c r="DL13" t="e">
        <f>AND('Discovery-Processing-QC feature'!B456,"AAAAAGkXDXM=")</f>
        <v>#VALUE!</v>
      </c>
      <c r="DM13" t="e">
        <f>AND('Discovery-Processing-QC feature'!C456,"AAAAAGkXDXQ=")</f>
        <v>#VALUE!</v>
      </c>
      <c r="DN13" t="e">
        <f>AND('Discovery-Processing-QC feature'!D456,"AAAAAGkXDXU=")</f>
        <v>#VALUE!</v>
      </c>
      <c r="DO13" t="e">
        <f>AND('Discovery-Processing-QC feature'!E456,"AAAAAGkXDXY=")</f>
        <v>#VALUE!</v>
      </c>
      <c r="DP13" t="e">
        <f>AND('Discovery-Processing-QC feature'!F456,"AAAAAGkXDXc=")</f>
        <v>#VALUE!</v>
      </c>
      <c r="DQ13">
        <f>IF('Discovery-Processing-QC feature'!457:457,"AAAAAGkXDXg=",0)</f>
        <v>0</v>
      </c>
      <c r="DR13" t="e">
        <f>AND('Discovery-Processing-QC feature'!A457,"AAAAAGkXDXk=")</f>
        <v>#VALUE!</v>
      </c>
      <c r="DS13" t="e">
        <f>AND('Discovery-Processing-QC feature'!B457,"AAAAAGkXDXo=")</f>
        <v>#VALUE!</v>
      </c>
      <c r="DT13" t="e">
        <f>AND('Discovery-Processing-QC feature'!C457,"AAAAAGkXDXs=")</f>
        <v>#VALUE!</v>
      </c>
      <c r="DU13" t="e">
        <f>AND('Discovery-Processing-QC feature'!D457,"AAAAAGkXDXw=")</f>
        <v>#VALUE!</v>
      </c>
      <c r="DV13" t="e">
        <f>AND('Discovery-Processing-QC feature'!E457,"AAAAAGkXDX0=")</f>
        <v>#VALUE!</v>
      </c>
      <c r="DW13" t="e">
        <f>AND('Discovery-Processing-QC feature'!F457,"AAAAAGkXDX4=")</f>
        <v>#VALUE!</v>
      </c>
      <c r="DX13">
        <f>IF('Discovery-Processing-QC feature'!458:458,"AAAAAGkXDX8=",0)</f>
        <v>0</v>
      </c>
      <c r="DY13" t="e">
        <f>AND('Discovery-Processing-QC feature'!A458,"AAAAAGkXDYA=")</f>
        <v>#VALUE!</v>
      </c>
      <c r="DZ13" t="e">
        <f>AND('Discovery-Processing-QC feature'!B458,"AAAAAGkXDYE=")</f>
        <v>#VALUE!</v>
      </c>
      <c r="EA13" t="e">
        <f>AND('Discovery-Processing-QC feature'!C458,"AAAAAGkXDYI=")</f>
        <v>#VALUE!</v>
      </c>
      <c r="EB13" t="e">
        <f>AND('Discovery-Processing-QC feature'!D458,"AAAAAGkXDYM=")</f>
        <v>#VALUE!</v>
      </c>
      <c r="EC13" t="e">
        <f>AND('Discovery-Processing-QC feature'!E458,"AAAAAGkXDYQ=")</f>
        <v>#VALUE!</v>
      </c>
      <c r="ED13" t="e">
        <f>AND('Discovery-Processing-QC feature'!F458,"AAAAAGkXDYU=")</f>
        <v>#VALUE!</v>
      </c>
      <c r="EE13">
        <f>IF('Discovery-Processing-QC feature'!459:459,"AAAAAGkXDYY=",0)</f>
        <v>0</v>
      </c>
      <c r="EF13" t="e">
        <f>AND('Discovery-Processing-QC feature'!A459,"AAAAAGkXDYc=")</f>
        <v>#VALUE!</v>
      </c>
      <c r="EG13" t="e">
        <f>AND('Discovery-Processing-QC feature'!B459,"AAAAAGkXDYg=")</f>
        <v>#VALUE!</v>
      </c>
      <c r="EH13" t="e">
        <f>AND('Discovery-Processing-QC feature'!C459,"AAAAAGkXDYk=")</f>
        <v>#VALUE!</v>
      </c>
      <c r="EI13" t="e">
        <f>AND('Discovery-Processing-QC feature'!D459,"AAAAAGkXDYo=")</f>
        <v>#VALUE!</v>
      </c>
      <c r="EJ13" t="e">
        <f>AND('Discovery-Processing-QC feature'!E459,"AAAAAGkXDYs=")</f>
        <v>#VALUE!</v>
      </c>
      <c r="EK13" t="e">
        <f>AND('Discovery-Processing-QC feature'!F459,"AAAAAGkXDYw=")</f>
        <v>#VALUE!</v>
      </c>
      <c r="EL13">
        <f>IF('Discovery-Processing-QC feature'!460:460,"AAAAAGkXDY0=",0)</f>
        <v>0</v>
      </c>
      <c r="EM13" t="e">
        <f>AND('Discovery-Processing-QC feature'!A460,"AAAAAGkXDY4=")</f>
        <v>#VALUE!</v>
      </c>
      <c r="EN13" t="e">
        <f>AND('Discovery-Processing-QC feature'!B460,"AAAAAGkXDY8=")</f>
        <v>#VALUE!</v>
      </c>
      <c r="EO13" t="e">
        <f>AND('Discovery-Processing-QC feature'!C460,"AAAAAGkXDZA=")</f>
        <v>#VALUE!</v>
      </c>
      <c r="EP13" t="e">
        <f>AND('Discovery-Processing-QC feature'!D460,"AAAAAGkXDZE=")</f>
        <v>#VALUE!</v>
      </c>
      <c r="EQ13" t="e">
        <f>AND('Discovery-Processing-QC feature'!E460,"AAAAAGkXDZI=")</f>
        <v>#VALUE!</v>
      </c>
      <c r="ER13" t="e">
        <f>AND('Discovery-Processing-QC feature'!F460,"AAAAAGkXDZM=")</f>
        <v>#VALUE!</v>
      </c>
      <c r="ES13">
        <f>IF('Discovery-Processing-QC feature'!461:461,"AAAAAGkXDZQ=",0)</f>
        <v>0</v>
      </c>
      <c r="ET13" t="e">
        <f>AND('Discovery-Processing-QC feature'!A461,"AAAAAGkXDZU=")</f>
        <v>#VALUE!</v>
      </c>
      <c r="EU13" t="e">
        <f>AND('Discovery-Processing-QC feature'!B461,"AAAAAGkXDZY=")</f>
        <v>#VALUE!</v>
      </c>
      <c r="EV13" t="e">
        <f>AND('Discovery-Processing-QC feature'!C461,"AAAAAGkXDZc=")</f>
        <v>#VALUE!</v>
      </c>
      <c r="EW13" t="e">
        <f>AND('Discovery-Processing-QC feature'!D461,"AAAAAGkXDZg=")</f>
        <v>#VALUE!</v>
      </c>
      <c r="EX13" t="e">
        <f>AND('Discovery-Processing-QC feature'!E461,"AAAAAGkXDZk=")</f>
        <v>#VALUE!</v>
      </c>
      <c r="EY13" t="e">
        <f>AND('Discovery-Processing-QC feature'!F461,"AAAAAGkXDZo=")</f>
        <v>#VALUE!</v>
      </c>
      <c r="EZ13">
        <f>IF('Discovery-Processing-QC feature'!462:462,"AAAAAGkXDZs=",0)</f>
        <v>0</v>
      </c>
      <c r="FA13" t="e">
        <f>AND('Discovery-Processing-QC feature'!A462,"AAAAAGkXDZw=")</f>
        <v>#VALUE!</v>
      </c>
      <c r="FB13" t="e">
        <f>AND('Discovery-Processing-QC feature'!B462,"AAAAAGkXDZ0=")</f>
        <v>#VALUE!</v>
      </c>
      <c r="FC13" t="e">
        <f>AND('Discovery-Processing-QC feature'!C462,"AAAAAGkXDZ4=")</f>
        <v>#VALUE!</v>
      </c>
      <c r="FD13" t="e">
        <f>AND('Discovery-Processing-QC feature'!D462,"AAAAAGkXDZ8=")</f>
        <v>#VALUE!</v>
      </c>
      <c r="FE13" t="e">
        <f>AND('Discovery-Processing-QC feature'!E462,"AAAAAGkXDaA=")</f>
        <v>#VALUE!</v>
      </c>
      <c r="FF13" t="e">
        <f>AND('Discovery-Processing-QC feature'!F462,"AAAAAGkXDaE=")</f>
        <v>#VALUE!</v>
      </c>
      <c r="FG13">
        <f>IF('Discovery-Processing-QC feature'!463:463,"AAAAAGkXDaI=",0)</f>
        <v>0</v>
      </c>
      <c r="FH13" t="e">
        <f>AND('Discovery-Processing-QC feature'!A463,"AAAAAGkXDaM=")</f>
        <v>#VALUE!</v>
      </c>
      <c r="FI13" t="e">
        <f>AND('Discovery-Processing-QC feature'!B463,"AAAAAGkXDaQ=")</f>
        <v>#VALUE!</v>
      </c>
      <c r="FJ13" t="e">
        <f>AND('Discovery-Processing-QC feature'!C463,"AAAAAGkXDaU=")</f>
        <v>#VALUE!</v>
      </c>
      <c r="FK13" t="e">
        <f>AND('Discovery-Processing-QC feature'!D463,"AAAAAGkXDaY=")</f>
        <v>#VALUE!</v>
      </c>
      <c r="FL13" t="e">
        <f>AND('Discovery-Processing-QC feature'!E463,"AAAAAGkXDac=")</f>
        <v>#VALUE!</v>
      </c>
      <c r="FM13" t="e">
        <f>AND('Discovery-Processing-QC feature'!F463,"AAAAAGkXDag=")</f>
        <v>#VALUE!</v>
      </c>
      <c r="FN13">
        <f>IF('Discovery-Processing-QC feature'!464:464,"AAAAAGkXDak=",0)</f>
        <v>0</v>
      </c>
      <c r="FO13" t="e">
        <f>AND('Discovery-Processing-QC feature'!A464,"AAAAAGkXDao=")</f>
        <v>#VALUE!</v>
      </c>
      <c r="FP13" t="e">
        <f>AND('Discovery-Processing-QC feature'!B464,"AAAAAGkXDas=")</f>
        <v>#VALUE!</v>
      </c>
      <c r="FQ13" t="e">
        <f>AND('Discovery-Processing-QC feature'!C464,"AAAAAGkXDaw=")</f>
        <v>#VALUE!</v>
      </c>
      <c r="FR13" t="e">
        <f>AND('Discovery-Processing-QC feature'!D464,"AAAAAGkXDa0=")</f>
        <v>#VALUE!</v>
      </c>
      <c r="FS13" t="e">
        <f>AND('Discovery-Processing-QC feature'!E464,"AAAAAGkXDa4=")</f>
        <v>#VALUE!</v>
      </c>
      <c r="FT13" t="e">
        <f>AND('Discovery-Processing-QC feature'!F464,"AAAAAGkXDa8=")</f>
        <v>#VALUE!</v>
      </c>
      <c r="FU13">
        <f>IF('Discovery-Processing-QC feature'!465:465,"AAAAAGkXDbA=",0)</f>
        <v>0</v>
      </c>
      <c r="FV13" t="e">
        <f>AND('Discovery-Processing-QC feature'!A465,"AAAAAGkXDbE=")</f>
        <v>#VALUE!</v>
      </c>
      <c r="FW13" t="e">
        <f>AND('Discovery-Processing-QC feature'!B465,"AAAAAGkXDbI=")</f>
        <v>#VALUE!</v>
      </c>
      <c r="FX13" t="e">
        <f>AND('Discovery-Processing-QC feature'!C465,"AAAAAGkXDbM=")</f>
        <v>#VALUE!</v>
      </c>
      <c r="FY13" t="e">
        <f>AND('Discovery-Processing-QC feature'!D465,"AAAAAGkXDbQ=")</f>
        <v>#VALUE!</v>
      </c>
      <c r="FZ13" t="e">
        <f>AND('Discovery-Processing-QC feature'!E465,"AAAAAGkXDbU=")</f>
        <v>#VALUE!</v>
      </c>
      <c r="GA13" t="e">
        <f>AND('Discovery-Processing-QC feature'!F465,"AAAAAGkXDbY=")</f>
        <v>#VALUE!</v>
      </c>
      <c r="GB13">
        <f>IF('Discovery-Processing-QC feature'!466:466,"AAAAAGkXDbc=",0)</f>
        <v>0</v>
      </c>
      <c r="GC13" t="e">
        <f>AND('Discovery-Processing-QC feature'!A466,"AAAAAGkXDbg=")</f>
        <v>#VALUE!</v>
      </c>
      <c r="GD13" t="e">
        <f>AND('Discovery-Processing-QC feature'!B466,"AAAAAGkXDbk=")</f>
        <v>#VALUE!</v>
      </c>
      <c r="GE13" t="e">
        <f>AND('Discovery-Processing-QC feature'!C466,"AAAAAGkXDbo=")</f>
        <v>#VALUE!</v>
      </c>
      <c r="GF13" t="e">
        <f>AND('Discovery-Processing-QC feature'!D466,"AAAAAGkXDbs=")</f>
        <v>#VALUE!</v>
      </c>
      <c r="GG13" t="e">
        <f>AND('Discovery-Processing-QC feature'!E466,"AAAAAGkXDbw=")</f>
        <v>#VALUE!</v>
      </c>
      <c r="GH13" t="e">
        <f>AND('Discovery-Processing-QC feature'!F466,"AAAAAGkXDb0=")</f>
        <v>#VALUE!</v>
      </c>
      <c r="GI13">
        <f>IF('Discovery-Processing-QC feature'!467:467,"AAAAAGkXDb4=",0)</f>
        <v>0</v>
      </c>
      <c r="GJ13" t="e">
        <f>AND('Discovery-Processing-QC feature'!A467,"AAAAAGkXDb8=")</f>
        <v>#VALUE!</v>
      </c>
      <c r="GK13" t="e">
        <f>AND('Discovery-Processing-QC feature'!B467,"AAAAAGkXDcA=")</f>
        <v>#VALUE!</v>
      </c>
      <c r="GL13" t="e">
        <f>AND('Discovery-Processing-QC feature'!C467,"AAAAAGkXDcE=")</f>
        <v>#VALUE!</v>
      </c>
      <c r="GM13" t="e">
        <f>AND('Discovery-Processing-QC feature'!D467,"AAAAAGkXDcI=")</f>
        <v>#VALUE!</v>
      </c>
      <c r="GN13" t="e">
        <f>AND('Discovery-Processing-QC feature'!E467,"AAAAAGkXDcM=")</f>
        <v>#VALUE!</v>
      </c>
      <c r="GO13" t="e">
        <f>AND('Discovery-Processing-QC feature'!F467,"AAAAAGkXDcQ=")</f>
        <v>#VALUE!</v>
      </c>
      <c r="GP13">
        <f>IF('Discovery-Processing-QC feature'!468:468,"AAAAAGkXDcU=",0)</f>
        <v>0</v>
      </c>
      <c r="GQ13" t="e">
        <f>AND('Discovery-Processing-QC feature'!A468,"AAAAAGkXDcY=")</f>
        <v>#VALUE!</v>
      </c>
      <c r="GR13" t="e">
        <f>AND('Discovery-Processing-QC feature'!B468,"AAAAAGkXDcc=")</f>
        <v>#VALUE!</v>
      </c>
      <c r="GS13" t="e">
        <f>AND('Discovery-Processing-QC feature'!C468,"AAAAAGkXDcg=")</f>
        <v>#VALUE!</v>
      </c>
      <c r="GT13" t="e">
        <f>AND('Discovery-Processing-QC feature'!D468,"AAAAAGkXDck=")</f>
        <v>#VALUE!</v>
      </c>
      <c r="GU13" t="e">
        <f>AND('Discovery-Processing-QC feature'!E468,"AAAAAGkXDco=")</f>
        <v>#VALUE!</v>
      </c>
      <c r="GV13" t="e">
        <f>AND('Discovery-Processing-QC feature'!F468,"AAAAAGkXDcs=")</f>
        <v>#VALUE!</v>
      </c>
      <c r="GW13">
        <f>IF('Discovery-Processing-QC feature'!469:469,"AAAAAGkXDcw=",0)</f>
        <v>0</v>
      </c>
      <c r="GX13" t="e">
        <f>AND('Discovery-Processing-QC feature'!A469,"AAAAAGkXDc0=")</f>
        <v>#VALUE!</v>
      </c>
      <c r="GY13" t="e">
        <f>AND('Discovery-Processing-QC feature'!B469,"AAAAAGkXDc4=")</f>
        <v>#VALUE!</v>
      </c>
      <c r="GZ13" t="e">
        <f>AND('Discovery-Processing-QC feature'!C469,"AAAAAGkXDc8=")</f>
        <v>#VALUE!</v>
      </c>
      <c r="HA13" t="e">
        <f>AND('Discovery-Processing-QC feature'!D469,"AAAAAGkXDdA=")</f>
        <v>#VALUE!</v>
      </c>
      <c r="HB13" t="e">
        <f>AND('Discovery-Processing-QC feature'!E469,"AAAAAGkXDdE=")</f>
        <v>#VALUE!</v>
      </c>
      <c r="HC13" t="e">
        <f>AND('Discovery-Processing-QC feature'!F469,"AAAAAGkXDdI=")</f>
        <v>#VALUE!</v>
      </c>
      <c r="HD13">
        <f>IF('Discovery-Processing-QC feature'!470:470,"AAAAAGkXDdM=",0)</f>
        <v>0</v>
      </c>
      <c r="HE13" t="e">
        <f>AND('Discovery-Processing-QC feature'!A470,"AAAAAGkXDdQ=")</f>
        <v>#VALUE!</v>
      </c>
      <c r="HF13" t="e">
        <f>AND('Discovery-Processing-QC feature'!B470,"AAAAAGkXDdU=")</f>
        <v>#VALUE!</v>
      </c>
      <c r="HG13" t="e">
        <f>AND('Discovery-Processing-QC feature'!C470,"AAAAAGkXDdY=")</f>
        <v>#VALUE!</v>
      </c>
      <c r="HH13" t="e">
        <f>AND('Discovery-Processing-QC feature'!D470,"AAAAAGkXDdc=")</f>
        <v>#VALUE!</v>
      </c>
      <c r="HI13" t="e">
        <f>AND('Discovery-Processing-QC feature'!E470,"AAAAAGkXDdg=")</f>
        <v>#VALUE!</v>
      </c>
      <c r="HJ13" t="e">
        <f>AND('Discovery-Processing-QC feature'!F470,"AAAAAGkXDdk=")</f>
        <v>#VALUE!</v>
      </c>
      <c r="HK13">
        <f>IF('Discovery-Processing-QC feature'!471:471,"AAAAAGkXDdo=",0)</f>
        <v>0</v>
      </c>
      <c r="HL13" t="e">
        <f>AND('Discovery-Processing-QC feature'!A471,"AAAAAGkXDds=")</f>
        <v>#VALUE!</v>
      </c>
      <c r="HM13" t="e">
        <f>AND('Discovery-Processing-QC feature'!B471,"AAAAAGkXDdw=")</f>
        <v>#VALUE!</v>
      </c>
      <c r="HN13">
        <f>IF('Discovery-Processing-QC feature'!472:472,"AAAAAGkXDd0=",0)</f>
        <v>0</v>
      </c>
      <c r="HO13" t="e">
        <f>AND('Discovery-Processing-QC feature'!A472,"AAAAAGkXDd4=")</f>
        <v>#VALUE!</v>
      </c>
      <c r="HP13" t="e">
        <f>AND('Discovery-Processing-QC feature'!B472,"AAAAAGkXDd8=")</f>
        <v>#VALUE!</v>
      </c>
      <c r="HQ13">
        <f>IF('Discovery-Processing-QC feature'!473:473,"AAAAAGkXDeA=",0)</f>
        <v>0</v>
      </c>
      <c r="HR13" t="e">
        <f>AND('Discovery-Processing-QC feature'!A473,"AAAAAGkXDeE=")</f>
        <v>#VALUE!</v>
      </c>
      <c r="HS13" t="e">
        <f>AND('Discovery-Processing-QC feature'!B473,"AAAAAGkXDeI=")</f>
        <v>#VALUE!</v>
      </c>
      <c r="HT13">
        <f>IF('Discovery-Processing-QC feature'!474:474,"AAAAAGkXDeM=",0)</f>
        <v>0</v>
      </c>
      <c r="HU13" t="e">
        <f>AND('Discovery-Processing-QC feature'!A474,"AAAAAGkXDeQ=")</f>
        <v>#VALUE!</v>
      </c>
      <c r="HV13" t="e">
        <f>AND('Discovery-Processing-QC feature'!B474,"AAAAAGkXDeU=")</f>
        <v>#VALUE!</v>
      </c>
      <c r="HW13">
        <f>IF('Discovery-Processing-QC feature'!475:475,"AAAAAGkXDeY=",0)</f>
        <v>0</v>
      </c>
      <c r="HX13" t="e">
        <f>AND('Discovery-Processing-QC feature'!A475,"AAAAAGkXDec=")</f>
        <v>#VALUE!</v>
      </c>
      <c r="HY13" t="e">
        <f>AND('Discovery-Processing-QC feature'!B475,"AAAAAGkXDeg=")</f>
        <v>#VALUE!</v>
      </c>
      <c r="HZ13">
        <f>IF('Discovery-Processing-QC feature'!476:476,"AAAAAGkXDek=",0)</f>
        <v>0</v>
      </c>
      <c r="IA13" t="e">
        <f>AND('Discovery-Processing-QC feature'!A476,"AAAAAGkXDeo=")</f>
        <v>#VALUE!</v>
      </c>
      <c r="IB13" t="e">
        <f>AND('Discovery-Processing-QC feature'!B476,"AAAAAGkXDes=")</f>
        <v>#VALUE!</v>
      </c>
      <c r="IC13">
        <f>IF('Discovery-Processing-QC feature'!477:477,"AAAAAGkXDew=",0)</f>
        <v>0</v>
      </c>
      <c r="ID13" t="e">
        <f>AND('Discovery-Processing-QC feature'!A477,"AAAAAGkXDe0=")</f>
        <v>#VALUE!</v>
      </c>
      <c r="IE13" t="e">
        <f>AND('Discovery-Processing-QC feature'!B477,"AAAAAGkXDe4=")</f>
        <v>#VALUE!</v>
      </c>
      <c r="IF13">
        <f>IF('Discovery-Processing-QC feature'!478:478,"AAAAAGkXDe8=",0)</f>
        <v>0</v>
      </c>
      <c r="IG13" t="e">
        <f>AND('Discovery-Processing-QC feature'!A478,"AAAAAGkXDfA=")</f>
        <v>#VALUE!</v>
      </c>
      <c r="IH13" t="e">
        <f>AND('Discovery-Processing-QC feature'!B478,"AAAAAGkXDfE=")</f>
        <v>#VALUE!</v>
      </c>
      <c r="II13">
        <f>IF('Discovery-Processing-QC feature'!479:479,"AAAAAGkXDfI=",0)</f>
        <v>0</v>
      </c>
      <c r="IJ13" t="e">
        <f>AND('Discovery-Processing-QC feature'!A479,"AAAAAGkXDfM=")</f>
        <v>#VALUE!</v>
      </c>
      <c r="IK13" t="e">
        <f>AND('Discovery-Processing-QC feature'!B479,"AAAAAGkXDfQ=")</f>
        <v>#VALUE!</v>
      </c>
      <c r="IL13">
        <f>IF('Discovery-Processing-QC feature'!480:480,"AAAAAGkXDfU=",0)</f>
        <v>0</v>
      </c>
      <c r="IM13" t="e">
        <f>AND('Discovery-Processing-QC feature'!A480,"AAAAAGkXDfY=")</f>
        <v>#VALUE!</v>
      </c>
      <c r="IN13" t="e">
        <f>AND('Discovery-Processing-QC feature'!B480,"AAAAAGkXDfc=")</f>
        <v>#VALUE!</v>
      </c>
      <c r="IO13">
        <f>IF('Discovery-Processing-QC feature'!481:481,"AAAAAGkXDfg=",0)</f>
        <v>0</v>
      </c>
      <c r="IP13" t="e">
        <f>AND('Discovery-Processing-QC feature'!A481,"AAAAAGkXDfk=")</f>
        <v>#VALUE!</v>
      </c>
      <c r="IQ13" t="e">
        <f>AND('Discovery-Processing-QC feature'!B481,"AAAAAGkXDfo=")</f>
        <v>#VALUE!</v>
      </c>
      <c r="IR13">
        <f>IF('Discovery-Processing-QC feature'!482:482,"AAAAAGkXDfs=",0)</f>
        <v>0</v>
      </c>
      <c r="IS13" t="e">
        <f>AND('Discovery-Processing-QC feature'!A482,"AAAAAGkXDfw=")</f>
        <v>#VALUE!</v>
      </c>
      <c r="IT13" t="e">
        <f>AND('Discovery-Processing-QC feature'!B482,"AAAAAGkXDf0=")</f>
        <v>#VALUE!</v>
      </c>
      <c r="IU13">
        <f>IF('Discovery-Processing-QC feature'!483:483,"AAAAAGkXDf4=",0)</f>
        <v>0</v>
      </c>
      <c r="IV13" t="e">
        <f>AND('Discovery-Processing-QC feature'!A483,"AAAAAGkXDf8=")</f>
        <v>#VALUE!</v>
      </c>
    </row>
    <row r="14" spans="1:256" x14ac:dyDescent="0.2">
      <c r="A14" t="e">
        <f>AND('Discovery-Processing-QC feature'!B483,"AAAAAD/v5gA=")</f>
        <v>#VALUE!</v>
      </c>
      <c r="B14">
        <f>IF('Discovery-Processing-QC feature'!484:484,"AAAAAD/v5gE=",0)</f>
        <v>0</v>
      </c>
      <c r="C14" t="e">
        <f>AND('Discovery-Processing-QC feature'!A484,"AAAAAD/v5gI=")</f>
        <v>#VALUE!</v>
      </c>
      <c r="D14" t="e">
        <f>AND('Discovery-Processing-QC feature'!B484,"AAAAAD/v5gM=")</f>
        <v>#VALUE!</v>
      </c>
      <c r="E14">
        <f>IF('Discovery-Processing-QC feature'!485:485,"AAAAAD/v5gQ=",0)</f>
        <v>0</v>
      </c>
      <c r="F14" t="e">
        <f>AND('Discovery-Processing-QC feature'!A485,"AAAAAD/v5gU=")</f>
        <v>#VALUE!</v>
      </c>
      <c r="G14" t="e">
        <f>AND('Discovery-Processing-QC feature'!B485,"AAAAAD/v5gY=")</f>
        <v>#VALUE!</v>
      </c>
      <c r="H14">
        <f>IF('Discovery-Processing-QC feature'!486:486,"AAAAAD/v5gc=",0)</f>
        <v>0</v>
      </c>
      <c r="I14" t="e">
        <f>AND('Discovery-Processing-QC feature'!A486,"AAAAAD/v5gg=")</f>
        <v>#VALUE!</v>
      </c>
      <c r="J14" t="e">
        <f>AND('Discovery-Processing-QC feature'!B486,"AAAAAD/v5gk=")</f>
        <v>#VALUE!</v>
      </c>
      <c r="K14">
        <f>IF('Discovery-Processing-QC feature'!487:487,"AAAAAD/v5go=",0)</f>
        <v>0</v>
      </c>
      <c r="L14" t="e">
        <f>AND('Discovery-Processing-QC feature'!A487,"AAAAAD/v5gs=")</f>
        <v>#VALUE!</v>
      </c>
      <c r="M14" t="e">
        <f>AND('Discovery-Processing-QC feature'!B487,"AAAAAD/v5gw=")</f>
        <v>#VALUE!</v>
      </c>
      <c r="N14">
        <f>IF('Discovery-Processing-QC feature'!488:488,"AAAAAD/v5g0=",0)</f>
        <v>0</v>
      </c>
      <c r="O14" t="e">
        <f>AND('Discovery-Processing-QC feature'!A488,"AAAAAD/v5g4=")</f>
        <v>#VALUE!</v>
      </c>
      <c r="P14" t="e">
        <f>AND('Discovery-Processing-QC feature'!B488,"AAAAAD/v5g8=")</f>
        <v>#VALUE!</v>
      </c>
      <c r="Q14">
        <f>IF('Discovery-Processing-QC feature'!489:489,"AAAAAD/v5hA=",0)</f>
        <v>0</v>
      </c>
      <c r="R14" t="e">
        <f>AND('Discovery-Processing-QC feature'!A489,"AAAAAD/v5hE=")</f>
        <v>#VALUE!</v>
      </c>
      <c r="S14" t="e">
        <f>AND('Discovery-Processing-QC feature'!B489,"AAAAAD/v5hI=")</f>
        <v>#VALUE!</v>
      </c>
      <c r="T14">
        <f>IF('Discovery-Processing-QC feature'!490:490,"AAAAAD/v5hM=",0)</f>
        <v>0</v>
      </c>
      <c r="U14" t="e">
        <f>AND('Discovery-Processing-QC feature'!A490,"AAAAAD/v5hQ=")</f>
        <v>#VALUE!</v>
      </c>
      <c r="V14" t="e">
        <f>AND('Discovery-Processing-QC feature'!B490,"AAAAAD/v5hU=")</f>
        <v>#VALUE!</v>
      </c>
      <c r="W14">
        <f>IF('Discovery-Processing-QC feature'!491:491,"AAAAAD/v5hY=",0)</f>
        <v>0</v>
      </c>
      <c r="X14" t="e">
        <f>AND('Discovery-Processing-QC feature'!A491,"AAAAAD/v5hc=")</f>
        <v>#VALUE!</v>
      </c>
      <c r="Y14" t="e">
        <f>AND('Discovery-Processing-QC feature'!B491,"AAAAAD/v5hg=")</f>
        <v>#VALUE!</v>
      </c>
      <c r="Z14">
        <f>IF('Discovery-Processing-QC feature'!492:492,"AAAAAD/v5hk=",0)</f>
        <v>0</v>
      </c>
      <c r="AA14" t="e">
        <f>AND('Discovery-Processing-QC feature'!A492,"AAAAAD/v5ho=")</f>
        <v>#VALUE!</v>
      </c>
      <c r="AB14" t="e">
        <f>AND('Discovery-Processing-QC feature'!B492,"AAAAAD/v5hs=")</f>
        <v>#VALUE!</v>
      </c>
      <c r="AC14">
        <f>IF('Discovery-Processing-QC feature'!493:493,"AAAAAD/v5hw=",0)</f>
        <v>0</v>
      </c>
      <c r="AD14" t="e">
        <f>AND('Discovery-Processing-QC feature'!A493,"AAAAAD/v5h0=")</f>
        <v>#VALUE!</v>
      </c>
      <c r="AE14" t="e">
        <f>AND('Discovery-Processing-QC feature'!B493,"AAAAAD/v5h4=")</f>
        <v>#VALUE!</v>
      </c>
      <c r="AF14">
        <f>IF('Discovery-Processing-QC feature'!494:494,"AAAAAD/v5h8=",0)</f>
        <v>0</v>
      </c>
      <c r="AG14" t="e">
        <f>AND('Discovery-Processing-QC feature'!A494,"AAAAAD/v5iA=")</f>
        <v>#VALUE!</v>
      </c>
      <c r="AH14" t="e">
        <f>AND('Discovery-Processing-QC feature'!B494,"AAAAAD/v5iE=")</f>
        <v>#VALUE!</v>
      </c>
      <c r="AI14">
        <f>IF('Discovery-Processing-QC feature'!495:495,"AAAAAD/v5iI=",0)</f>
        <v>0</v>
      </c>
      <c r="AJ14" t="e">
        <f>AND('Discovery-Processing-QC feature'!A495,"AAAAAD/v5iM=")</f>
        <v>#VALUE!</v>
      </c>
      <c r="AK14" t="e">
        <f>AND('Discovery-Processing-QC feature'!B495,"AAAAAD/v5iQ=")</f>
        <v>#VALUE!</v>
      </c>
      <c r="AL14">
        <f>IF('Discovery-Processing-QC feature'!496:496,"AAAAAD/v5iU=",0)</f>
        <v>0</v>
      </c>
      <c r="AM14" t="e">
        <f>AND('Discovery-Processing-QC feature'!A496,"AAAAAD/v5iY=")</f>
        <v>#VALUE!</v>
      </c>
      <c r="AN14" t="e">
        <f>AND('Discovery-Processing-QC feature'!B496,"AAAAAD/v5ic=")</f>
        <v>#VALUE!</v>
      </c>
      <c r="AO14">
        <f>IF('Discovery-Processing-QC feature'!497:497,"AAAAAD/v5ig=",0)</f>
        <v>0</v>
      </c>
      <c r="AP14" t="e">
        <f>AND('Discovery-Processing-QC feature'!A497,"AAAAAD/v5ik=")</f>
        <v>#VALUE!</v>
      </c>
      <c r="AQ14" t="e">
        <f>AND('Discovery-Processing-QC feature'!B497,"AAAAAD/v5io=")</f>
        <v>#VALUE!</v>
      </c>
      <c r="AR14">
        <f>IF('Discovery-Processing-QC feature'!498:498,"AAAAAD/v5is=",0)</f>
        <v>0</v>
      </c>
      <c r="AS14" t="e">
        <f>AND('Discovery-Processing-QC feature'!A498,"AAAAAD/v5iw=")</f>
        <v>#VALUE!</v>
      </c>
      <c r="AT14" t="e">
        <f>AND('Discovery-Processing-QC feature'!B498,"AAAAAD/v5i0=")</f>
        <v>#VALUE!</v>
      </c>
      <c r="AU14">
        <f>IF('Discovery-Processing-QC feature'!499:499,"AAAAAD/v5i4=",0)</f>
        <v>0</v>
      </c>
      <c r="AV14" t="e">
        <f>AND('Discovery-Processing-QC feature'!A499,"AAAAAD/v5i8=")</f>
        <v>#VALUE!</v>
      </c>
      <c r="AW14" t="e">
        <f>AND('Discovery-Processing-QC feature'!B499,"AAAAAD/v5jA=")</f>
        <v>#VALUE!</v>
      </c>
      <c r="AX14">
        <f>IF('Discovery-Processing-QC feature'!500:500,"AAAAAD/v5jE=",0)</f>
        <v>0</v>
      </c>
      <c r="AY14" t="e">
        <f>AND('Discovery-Processing-QC feature'!A500,"AAAAAD/v5jI=")</f>
        <v>#VALUE!</v>
      </c>
      <c r="AZ14" t="e">
        <f>AND('Discovery-Processing-QC feature'!B500,"AAAAAD/v5jM=")</f>
        <v>#VALUE!</v>
      </c>
      <c r="BA14">
        <f>IF('Discovery-Processing-QC feature'!501:501,"AAAAAD/v5jQ=",0)</f>
        <v>0</v>
      </c>
      <c r="BB14" t="e">
        <f>AND('Discovery-Processing-QC feature'!A501,"AAAAAD/v5jU=")</f>
        <v>#VALUE!</v>
      </c>
      <c r="BC14" t="e">
        <f>AND('Discovery-Processing-QC feature'!B501,"AAAAAD/v5jY=")</f>
        <v>#VALUE!</v>
      </c>
      <c r="BD14">
        <f>IF('Discovery-Processing-QC feature'!502:502,"AAAAAD/v5jc=",0)</f>
        <v>0</v>
      </c>
      <c r="BE14" t="e">
        <f>AND('Discovery-Processing-QC feature'!A502,"AAAAAD/v5jg=")</f>
        <v>#VALUE!</v>
      </c>
      <c r="BF14" t="e">
        <f>AND('Discovery-Processing-QC feature'!B502,"AAAAAD/v5jk=")</f>
        <v>#VALUE!</v>
      </c>
      <c r="BG14">
        <f>IF('Discovery-Processing-QC feature'!503:503,"AAAAAD/v5jo=",0)</f>
        <v>0</v>
      </c>
      <c r="BH14" t="e">
        <f>AND('Discovery-Processing-QC feature'!A503,"AAAAAD/v5js=")</f>
        <v>#VALUE!</v>
      </c>
      <c r="BI14" t="e">
        <f>AND('Discovery-Processing-QC feature'!B503,"AAAAAD/v5jw=")</f>
        <v>#VALUE!</v>
      </c>
      <c r="BJ14">
        <f>IF('Discovery-Processing-QC feature'!504:504,"AAAAAD/v5j0=",0)</f>
        <v>0</v>
      </c>
      <c r="BK14" t="e">
        <f>AND('Discovery-Processing-QC feature'!A504,"AAAAAD/v5j4=")</f>
        <v>#VALUE!</v>
      </c>
      <c r="BL14" t="e">
        <f>AND('Discovery-Processing-QC feature'!B504,"AAAAAD/v5j8=")</f>
        <v>#VALUE!</v>
      </c>
      <c r="BM14">
        <f>IF('Discovery-Processing-QC feature'!505:505,"AAAAAD/v5kA=",0)</f>
        <v>0</v>
      </c>
      <c r="BN14" t="e">
        <f>AND('Discovery-Processing-QC feature'!A505,"AAAAAD/v5kE=")</f>
        <v>#VALUE!</v>
      </c>
      <c r="BO14" t="e">
        <f>AND('Discovery-Processing-QC feature'!B505,"AAAAAD/v5kI=")</f>
        <v>#VALUE!</v>
      </c>
      <c r="BP14">
        <f>IF('Discovery-Processing-QC feature'!506:506,"AAAAAD/v5kM=",0)</f>
        <v>0</v>
      </c>
      <c r="BQ14" t="e">
        <f>AND('Discovery-Processing-QC feature'!A506,"AAAAAD/v5kQ=")</f>
        <v>#VALUE!</v>
      </c>
      <c r="BR14" t="e">
        <f>AND('Discovery-Processing-QC feature'!B506,"AAAAAD/v5kU=")</f>
        <v>#VALUE!</v>
      </c>
      <c r="BS14">
        <f>IF('Discovery-Processing-QC feature'!507:507,"AAAAAD/v5kY=",0)</f>
        <v>0</v>
      </c>
      <c r="BT14" t="e">
        <f>AND('Discovery-Processing-QC feature'!A507,"AAAAAD/v5kc=")</f>
        <v>#VALUE!</v>
      </c>
      <c r="BU14" t="e">
        <f>AND('Discovery-Processing-QC feature'!B507,"AAAAAD/v5kg=")</f>
        <v>#VALUE!</v>
      </c>
      <c r="BV14">
        <f>IF('Discovery-Processing-QC feature'!508:508,"AAAAAD/v5kk=",0)</f>
        <v>0</v>
      </c>
      <c r="BW14" t="e">
        <f>AND('Discovery-Processing-QC feature'!A508,"AAAAAD/v5ko=")</f>
        <v>#VALUE!</v>
      </c>
      <c r="BX14" t="e">
        <f>AND('Discovery-Processing-QC feature'!B508,"AAAAAD/v5ks=")</f>
        <v>#VALUE!</v>
      </c>
      <c r="BY14">
        <f>IF('Discovery-Processing-QC feature'!509:509,"AAAAAD/v5kw=",0)</f>
        <v>0</v>
      </c>
      <c r="BZ14" t="e">
        <f>AND('Discovery-Processing-QC feature'!A509,"AAAAAD/v5k0=")</f>
        <v>#VALUE!</v>
      </c>
      <c r="CA14" t="e">
        <f>AND('Discovery-Processing-QC feature'!B509,"AAAAAD/v5k4=")</f>
        <v>#VALUE!</v>
      </c>
      <c r="CB14">
        <f>IF('Discovery-Processing-QC feature'!510:510,"AAAAAD/v5k8=",0)</f>
        <v>0</v>
      </c>
      <c r="CC14" t="e">
        <f>AND('Discovery-Processing-QC feature'!A510,"AAAAAD/v5lA=")</f>
        <v>#VALUE!</v>
      </c>
      <c r="CD14" t="e">
        <f>AND('Discovery-Processing-QC feature'!B510,"AAAAAD/v5lE=")</f>
        <v>#VALUE!</v>
      </c>
      <c r="CE14">
        <f>IF('Discovery-Processing-QC feature'!511:511,"AAAAAD/v5lI=",0)</f>
        <v>0</v>
      </c>
      <c r="CF14" t="e">
        <f>AND('Discovery-Processing-QC feature'!A511,"AAAAAD/v5lM=")</f>
        <v>#VALUE!</v>
      </c>
      <c r="CG14" t="e">
        <f>AND('Discovery-Processing-QC feature'!B511,"AAAAAD/v5lQ=")</f>
        <v>#VALUE!</v>
      </c>
      <c r="CH14">
        <f>IF('Discovery-Processing-QC feature'!512:512,"AAAAAD/v5lU=",0)</f>
        <v>0</v>
      </c>
      <c r="CI14" t="e">
        <f>AND('Discovery-Processing-QC feature'!A512,"AAAAAD/v5lY=")</f>
        <v>#VALUE!</v>
      </c>
      <c r="CJ14" t="e">
        <f>AND('Discovery-Processing-QC feature'!B512,"AAAAAD/v5lc=")</f>
        <v>#VALUE!</v>
      </c>
      <c r="CK14">
        <f>IF('Discovery-Processing-QC feature'!513:513,"AAAAAD/v5lg=",0)</f>
        <v>0</v>
      </c>
      <c r="CL14" t="e">
        <f>AND('Discovery-Processing-QC feature'!A513,"AAAAAD/v5lk=")</f>
        <v>#VALUE!</v>
      </c>
      <c r="CM14" t="e">
        <f>AND('Discovery-Processing-QC feature'!B513,"AAAAAD/v5lo=")</f>
        <v>#VALUE!</v>
      </c>
      <c r="CN14">
        <f>IF('Discovery-Processing-QC feature'!514:514,"AAAAAD/v5ls=",0)</f>
        <v>0</v>
      </c>
      <c r="CO14" t="e">
        <f>AND('Discovery-Processing-QC feature'!A514,"AAAAAD/v5lw=")</f>
        <v>#VALUE!</v>
      </c>
      <c r="CP14" t="e">
        <f>AND('Discovery-Processing-QC feature'!B514,"AAAAAD/v5l0=")</f>
        <v>#VALUE!</v>
      </c>
      <c r="CQ14">
        <f>IF('Discovery-Processing-QC feature'!515:515,"AAAAAD/v5l4=",0)</f>
        <v>0</v>
      </c>
      <c r="CR14" t="e">
        <f>AND('Discovery-Processing-QC feature'!A515,"AAAAAD/v5l8=")</f>
        <v>#VALUE!</v>
      </c>
      <c r="CS14" t="e">
        <f>AND('Discovery-Processing-QC feature'!B515,"AAAAAD/v5mA=")</f>
        <v>#VALUE!</v>
      </c>
      <c r="CT14">
        <f>IF('Discovery-Processing-QC feature'!516:516,"AAAAAD/v5mE=",0)</f>
        <v>0</v>
      </c>
      <c r="CU14" t="e">
        <f>AND('Discovery-Processing-QC feature'!A516,"AAAAAD/v5mI=")</f>
        <v>#VALUE!</v>
      </c>
      <c r="CV14" t="e">
        <f>AND('Discovery-Processing-QC feature'!B516,"AAAAAD/v5mM=")</f>
        <v>#VALUE!</v>
      </c>
      <c r="CW14">
        <f>IF('Discovery-Processing-QC feature'!517:517,"AAAAAD/v5mQ=",0)</f>
        <v>0</v>
      </c>
      <c r="CX14" t="e">
        <f>AND('Discovery-Processing-QC feature'!A517,"AAAAAD/v5mU=")</f>
        <v>#VALUE!</v>
      </c>
      <c r="CY14" t="e">
        <f>AND('Discovery-Processing-QC feature'!B517,"AAAAAD/v5mY=")</f>
        <v>#VALUE!</v>
      </c>
      <c r="CZ14">
        <f>IF('Discovery-Processing-QC feature'!518:518,"AAAAAD/v5mc=",0)</f>
        <v>0</v>
      </c>
      <c r="DA14" t="e">
        <f>AND('Discovery-Processing-QC feature'!A518,"AAAAAD/v5mg=")</f>
        <v>#VALUE!</v>
      </c>
      <c r="DB14" t="e">
        <f>AND('Discovery-Processing-QC feature'!B518,"AAAAAD/v5mk=")</f>
        <v>#VALUE!</v>
      </c>
      <c r="DC14">
        <f>IF('Discovery-Processing-QC feature'!519:519,"AAAAAD/v5mo=",0)</f>
        <v>0</v>
      </c>
      <c r="DD14" t="e">
        <f>AND('Discovery-Processing-QC feature'!A519,"AAAAAD/v5ms=")</f>
        <v>#VALUE!</v>
      </c>
      <c r="DE14" t="e">
        <f>AND('Discovery-Processing-QC feature'!B519,"AAAAAD/v5mw=")</f>
        <v>#VALUE!</v>
      </c>
      <c r="DF14">
        <f>IF('Discovery-Processing-QC feature'!520:520,"AAAAAD/v5m0=",0)</f>
        <v>0</v>
      </c>
      <c r="DG14" t="e">
        <f>AND('Discovery-Processing-QC feature'!A520,"AAAAAD/v5m4=")</f>
        <v>#VALUE!</v>
      </c>
      <c r="DH14" t="e">
        <f>AND('Discovery-Processing-QC feature'!B520,"AAAAAD/v5m8=")</f>
        <v>#VALUE!</v>
      </c>
      <c r="DI14">
        <f>IF('Discovery-Processing-QC feature'!521:521,"AAAAAD/v5nA=",0)</f>
        <v>0</v>
      </c>
      <c r="DJ14" t="e">
        <f>AND('Discovery-Processing-QC feature'!A521,"AAAAAD/v5nE=")</f>
        <v>#VALUE!</v>
      </c>
      <c r="DK14" t="e">
        <f>AND('Discovery-Processing-QC feature'!B521,"AAAAAD/v5nI=")</f>
        <v>#VALUE!</v>
      </c>
      <c r="DL14">
        <f>IF('Discovery-Processing-QC feature'!522:522,"AAAAAD/v5nM=",0)</f>
        <v>0</v>
      </c>
      <c r="DM14" t="e">
        <f>AND('Discovery-Processing-QC feature'!A522,"AAAAAD/v5nQ=")</f>
        <v>#VALUE!</v>
      </c>
      <c r="DN14" t="e">
        <f>AND('Discovery-Processing-QC feature'!B522,"AAAAAD/v5nU=")</f>
        <v>#VALUE!</v>
      </c>
      <c r="DO14">
        <f>IF('Discovery-Processing-QC feature'!523:523,"AAAAAD/v5nY=",0)</f>
        <v>0</v>
      </c>
      <c r="DP14" t="e">
        <f>AND('Discovery-Processing-QC feature'!A523,"AAAAAD/v5nc=")</f>
        <v>#VALUE!</v>
      </c>
      <c r="DQ14" t="e">
        <f>AND('Discovery-Processing-QC feature'!B523,"AAAAAD/v5ng=")</f>
        <v>#VALUE!</v>
      </c>
      <c r="DR14">
        <f>IF('Discovery-Processing-QC feature'!524:524,"AAAAAD/v5nk=",0)</f>
        <v>0</v>
      </c>
      <c r="DS14" t="e">
        <f>AND('Discovery-Processing-QC feature'!A524,"AAAAAD/v5no=")</f>
        <v>#VALUE!</v>
      </c>
      <c r="DT14" t="e">
        <f>AND('Discovery-Processing-QC feature'!B524,"AAAAAD/v5ns=")</f>
        <v>#VALUE!</v>
      </c>
      <c r="DU14">
        <f>IF('Discovery-Processing-QC feature'!525:525,"AAAAAD/v5nw=",0)</f>
        <v>0</v>
      </c>
      <c r="DV14" t="e">
        <f>AND('Discovery-Processing-QC feature'!A525,"AAAAAD/v5n0=")</f>
        <v>#VALUE!</v>
      </c>
      <c r="DW14" t="e">
        <f>AND('Discovery-Processing-QC feature'!B525,"AAAAAD/v5n4=")</f>
        <v>#VALUE!</v>
      </c>
      <c r="DX14">
        <f>IF('Discovery-Processing-QC feature'!526:526,"AAAAAD/v5n8=",0)</f>
        <v>0</v>
      </c>
      <c r="DY14" t="e">
        <f>AND('Discovery-Processing-QC feature'!A526,"AAAAAD/v5oA=")</f>
        <v>#VALUE!</v>
      </c>
      <c r="DZ14" t="e">
        <f>AND('Discovery-Processing-QC feature'!B526,"AAAAAD/v5oE=")</f>
        <v>#VALUE!</v>
      </c>
      <c r="EA14">
        <f>IF('Discovery-Processing-QC feature'!527:527,"AAAAAD/v5oI=",0)</f>
        <v>0</v>
      </c>
      <c r="EB14" t="e">
        <f>AND('Discovery-Processing-QC feature'!A527,"AAAAAD/v5oM=")</f>
        <v>#VALUE!</v>
      </c>
      <c r="EC14" t="e">
        <f>AND('Discovery-Processing-QC feature'!B527,"AAAAAD/v5oQ=")</f>
        <v>#VALUE!</v>
      </c>
      <c r="ED14">
        <f>IF('Discovery-Processing-QC feature'!528:528,"AAAAAD/v5oU=",0)</f>
        <v>0</v>
      </c>
      <c r="EE14" t="e">
        <f>AND('Discovery-Processing-QC feature'!A528,"AAAAAD/v5oY=")</f>
        <v>#VALUE!</v>
      </c>
      <c r="EF14" t="e">
        <f>AND('Discovery-Processing-QC feature'!B528,"AAAAAD/v5oc=")</f>
        <v>#VALUE!</v>
      </c>
      <c r="EG14">
        <f>IF('Discovery-Processing-QC feature'!529:529,"AAAAAD/v5og=",0)</f>
        <v>0</v>
      </c>
      <c r="EH14" t="e">
        <f>AND('Discovery-Processing-QC feature'!A529,"AAAAAD/v5ok=")</f>
        <v>#VALUE!</v>
      </c>
      <c r="EI14" t="e">
        <f>AND('Discovery-Processing-QC feature'!B529,"AAAAAD/v5oo=")</f>
        <v>#VALUE!</v>
      </c>
      <c r="EJ14">
        <f>IF('Discovery-Processing-QC feature'!530:530,"AAAAAD/v5os=",0)</f>
        <v>0</v>
      </c>
      <c r="EK14" t="e">
        <f>AND('Discovery-Processing-QC feature'!A530,"AAAAAD/v5ow=")</f>
        <v>#VALUE!</v>
      </c>
      <c r="EL14" t="e">
        <f>AND('Discovery-Processing-QC feature'!B530,"AAAAAD/v5o0=")</f>
        <v>#VALUE!</v>
      </c>
      <c r="EM14">
        <f>IF('Discovery-Processing-QC feature'!531:531,"AAAAAD/v5o4=",0)</f>
        <v>0</v>
      </c>
      <c r="EN14" t="e">
        <f>AND('Discovery-Processing-QC feature'!A531,"AAAAAD/v5o8=")</f>
        <v>#VALUE!</v>
      </c>
      <c r="EO14" t="e">
        <f>AND('Discovery-Processing-QC feature'!B531,"AAAAAD/v5pA=")</f>
        <v>#VALUE!</v>
      </c>
      <c r="EP14">
        <f>IF('Discovery-Processing-QC feature'!532:532,"AAAAAD/v5pE=",0)</f>
        <v>0</v>
      </c>
      <c r="EQ14" t="e">
        <f>AND('Discovery-Processing-QC feature'!A532,"AAAAAD/v5pI=")</f>
        <v>#VALUE!</v>
      </c>
      <c r="ER14" t="e">
        <f>AND('Discovery-Processing-QC feature'!B532,"AAAAAD/v5pM=")</f>
        <v>#VALUE!</v>
      </c>
      <c r="ES14">
        <f>IF('Discovery-Processing-QC feature'!533:533,"AAAAAD/v5pQ=",0)</f>
        <v>0</v>
      </c>
      <c r="ET14" t="e">
        <f>AND('Discovery-Processing-QC feature'!A533,"AAAAAD/v5pU=")</f>
        <v>#VALUE!</v>
      </c>
      <c r="EU14" t="e">
        <f>AND('Discovery-Processing-QC feature'!B533,"AAAAAD/v5pY=")</f>
        <v>#VALUE!</v>
      </c>
      <c r="EV14">
        <f>IF('Discovery-Processing-QC feature'!534:534,"AAAAAD/v5pc=",0)</f>
        <v>0</v>
      </c>
      <c r="EW14" t="e">
        <f>AND('Discovery-Processing-QC feature'!A534,"AAAAAD/v5pg=")</f>
        <v>#VALUE!</v>
      </c>
      <c r="EX14" t="e">
        <f>AND('Discovery-Processing-QC feature'!B534,"AAAAAD/v5pk=")</f>
        <v>#VALUE!</v>
      </c>
      <c r="EY14">
        <f>IF('Discovery-Processing-QC feature'!535:535,"AAAAAD/v5po=",0)</f>
        <v>0</v>
      </c>
      <c r="EZ14" t="e">
        <f>AND('Discovery-Processing-QC feature'!A535,"AAAAAD/v5ps=")</f>
        <v>#VALUE!</v>
      </c>
      <c r="FA14" t="e">
        <f>AND('Discovery-Processing-QC feature'!B535,"AAAAAD/v5pw=")</f>
        <v>#VALUE!</v>
      </c>
      <c r="FB14">
        <f>IF('Discovery-Processing-QC feature'!536:536,"AAAAAD/v5p0=",0)</f>
        <v>0</v>
      </c>
      <c r="FC14" t="e">
        <f>AND('Discovery-Processing-QC feature'!A536,"AAAAAD/v5p4=")</f>
        <v>#VALUE!</v>
      </c>
      <c r="FD14" t="e">
        <f>AND('Discovery-Processing-QC feature'!B536,"AAAAAD/v5p8=")</f>
        <v>#VALUE!</v>
      </c>
      <c r="FE14">
        <f>IF('Discovery-Processing-QC feature'!537:537,"AAAAAD/v5qA=",0)</f>
        <v>0</v>
      </c>
      <c r="FF14" t="e">
        <f>AND('Discovery-Processing-QC feature'!A537,"AAAAAD/v5qE=")</f>
        <v>#VALUE!</v>
      </c>
      <c r="FG14" t="e">
        <f>AND('Discovery-Processing-QC feature'!B537,"AAAAAD/v5qI=")</f>
        <v>#VALUE!</v>
      </c>
      <c r="FH14">
        <f>IF('Discovery-Processing-QC feature'!538:538,"AAAAAD/v5qM=",0)</f>
        <v>0</v>
      </c>
      <c r="FI14" t="e">
        <f>AND('Discovery-Processing-QC feature'!A538,"AAAAAD/v5qQ=")</f>
        <v>#VALUE!</v>
      </c>
      <c r="FJ14" t="e">
        <f>AND('Discovery-Processing-QC feature'!B538,"AAAAAD/v5qU=")</f>
        <v>#VALUE!</v>
      </c>
      <c r="FK14">
        <f>IF('Discovery-Processing-QC feature'!539:539,"AAAAAD/v5qY=",0)</f>
        <v>0</v>
      </c>
      <c r="FL14" t="e">
        <f>AND('Discovery-Processing-QC feature'!A539,"AAAAAD/v5qc=")</f>
        <v>#VALUE!</v>
      </c>
      <c r="FM14" t="e">
        <f>AND('Discovery-Processing-QC feature'!B539,"AAAAAD/v5qg=")</f>
        <v>#VALUE!</v>
      </c>
      <c r="FN14">
        <f>IF('Discovery-Processing-QC feature'!540:540,"AAAAAD/v5qk=",0)</f>
        <v>0</v>
      </c>
      <c r="FO14" t="e">
        <f>AND('Discovery-Processing-QC feature'!A540,"AAAAAD/v5qo=")</f>
        <v>#VALUE!</v>
      </c>
      <c r="FP14" t="e">
        <f>AND('Discovery-Processing-QC feature'!B540,"AAAAAD/v5qs=")</f>
        <v>#VALUE!</v>
      </c>
      <c r="FQ14">
        <f>IF('Discovery-Processing-QC feature'!541:541,"AAAAAD/v5qw=",0)</f>
        <v>0</v>
      </c>
      <c r="FR14" t="e">
        <f>AND('Discovery-Processing-QC feature'!A541,"AAAAAD/v5q0=")</f>
        <v>#VALUE!</v>
      </c>
      <c r="FS14" t="e">
        <f>AND('Discovery-Processing-QC feature'!B541,"AAAAAD/v5q4=")</f>
        <v>#VALUE!</v>
      </c>
      <c r="FT14">
        <f>IF('Discovery-Processing-QC feature'!542:542,"AAAAAD/v5q8=",0)</f>
        <v>0</v>
      </c>
      <c r="FU14" t="e">
        <f>AND('Discovery-Processing-QC feature'!A542,"AAAAAD/v5rA=")</f>
        <v>#VALUE!</v>
      </c>
      <c r="FV14" t="e">
        <f>AND('Discovery-Processing-QC feature'!B542,"AAAAAD/v5rE=")</f>
        <v>#VALUE!</v>
      </c>
      <c r="FW14">
        <f>IF('Discovery-Processing-QC feature'!543:543,"AAAAAD/v5rI=",0)</f>
        <v>0</v>
      </c>
      <c r="FX14" t="e">
        <f>AND('Discovery-Processing-QC feature'!A543,"AAAAAD/v5rM=")</f>
        <v>#VALUE!</v>
      </c>
      <c r="FY14" t="e">
        <f>AND('Discovery-Processing-QC feature'!B543,"AAAAAD/v5rQ=")</f>
        <v>#VALUE!</v>
      </c>
      <c r="FZ14">
        <f>IF('Discovery-Processing-QC feature'!544:544,"AAAAAD/v5rU=",0)</f>
        <v>0</v>
      </c>
      <c r="GA14" t="e">
        <f>AND('Discovery-Processing-QC feature'!A544,"AAAAAD/v5rY=")</f>
        <v>#VALUE!</v>
      </c>
      <c r="GB14" t="e">
        <f>AND('Discovery-Processing-QC feature'!B544,"AAAAAD/v5rc=")</f>
        <v>#VALUE!</v>
      </c>
      <c r="GC14">
        <f>IF('Discovery-Processing-QC feature'!545:545,"AAAAAD/v5rg=",0)</f>
        <v>0</v>
      </c>
      <c r="GD14" t="e">
        <f>AND('Discovery-Processing-QC feature'!A545,"AAAAAD/v5rk=")</f>
        <v>#VALUE!</v>
      </c>
      <c r="GE14" t="e">
        <f>AND('Discovery-Processing-QC feature'!B545,"AAAAAD/v5ro=")</f>
        <v>#VALUE!</v>
      </c>
      <c r="GF14">
        <f>IF('Discovery-Processing-QC feature'!546:546,"AAAAAD/v5rs=",0)</f>
        <v>0</v>
      </c>
      <c r="GG14" t="e">
        <f>AND('Discovery-Processing-QC feature'!A546,"AAAAAD/v5rw=")</f>
        <v>#VALUE!</v>
      </c>
      <c r="GH14" t="e">
        <f>AND('Discovery-Processing-QC feature'!B546,"AAAAAD/v5r0=")</f>
        <v>#VALUE!</v>
      </c>
      <c r="GI14">
        <f>IF('Discovery-Processing-QC feature'!547:547,"AAAAAD/v5r4=",0)</f>
        <v>0</v>
      </c>
      <c r="GJ14" t="e">
        <f>AND('Discovery-Processing-QC feature'!A547,"AAAAAD/v5r8=")</f>
        <v>#VALUE!</v>
      </c>
      <c r="GK14" t="e">
        <f>AND('Discovery-Processing-QC feature'!B547,"AAAAAD/v5sA=")</f>
        <v>#VALUE!</v>
      </c>
      <c r="GL14">
        <f>IF('Discovery-Processing-QC feature'!548:548,"AAAAAD/v5sE=",0)</f>
        <v>0</v>
      </c>
      <c r="GM14" t="e">
        <f>AND('Discovery-Processing-QC feature'!A548,"AAAAAD/v5sI=")</f>
        <v>#VALUE!</v>
      </c>
      <c r="GN14" t="e">
        <f>AND('Discovery-Processing-QC feature'!B548,"AAAAAD/v5sM=")</f>
        <v>#VALUE!</v>
      </c>
      <c r="GO14">
        <f>IF('Discovery-Processing-QC feature'!549:549,"AAAAAD/v5sQ=",0)</f>
        <v>0</v>
      </c>
      <c r="GP14" t="e">
        <f>AND('Discovery-Processing-QC feature'!A549,"AAAAAD/v5sU=")</f>
        <v>#VALUE!</v>
      </c>
      <c r="GQ14" t="e">
        <f>AND('Discovery-Processing-QC feature'!B549,"AAAAAD/v5sY=")</f>
        <v>#VALUE!</v>
      </c>
      <c r="GR14">
        <f>IF('Discovery-Processing-QC feature'!550:550,"AAAAAD/v5sc=",0)</f>
        <v>0</v>
      </c>
      <c r="GS14" t="e">
        <f>AND('Discovery-Processing-QC feature'!A550,"AAAAAD/v5sg=")</f>
        <v>#VALUE!</v>
      </c>
      <c r="GT14" t="e">
        <f>AND('Discovery-Processing-QC feature'!B550,"AAAAAD/v5sk=")</f>
        <v>#VALUE!</v>
      </c>
      <c r="GU14">
        <f>IF('Discovery-Processing-QC feature'!551:551,"AAAAAD/v5so=",0)</f>
        <v>0</v>
      </c>
      <c r="GV14" t="e">
        <f>AND('Discovery-Processing-QC feature'!A551,"AAAAAD/v5ss=")</f>
        <v>#VALUE!</v>
      </c>
      <c r="GW14" t="e">
        <f>AND('Discovery-Processing-QC feature'!B551,"AAAAAD/v5sw=")</f>
        <v>#VALUE!</v>
      </c>
      <c r="GX14">
        <f>IF('Discovery-Processing-QC feature'!552:552,"AAAAAD/v5s0=",0)</f>
        <v>0</v>
      </c>
      <c r="GY14" t="e">
        <f>AND('Discovery-Processing-QC feature'!A552,"AAAAAD/v5s4=")</f>
        <v>#VALUE!</v>
      </c>
      <c r="GZ14" t="e">
        <f>AND('Discovery-Processing-QC feature'!B552,"AAAAAD/v5s8=")</f>
        <v>#VALUE!</v>
      </c>
      <c r="HA14">
        <f>IF('Discovery-Processing-QC feature'!553:553,"AAAAAD/v5tA=",0)</f>
        <v>0</v>
      </c>
      <c r="HB14" t="e">
        <f>AND('Discovery-Processing-QC feature'!A553,"AAAAAD/v5tE=")</f>
        <v>#VALUE!</v>
      </c>
      <c r="HC14" t="e">
        <f>AND('Discovery-Processing-QC feature'!B553,"AAAAAD/v5tI=")</f>
        <v>#VALUE!</v>
      </c>
      <c r="HD14">
        <f>IF('Discovery-Processing-QC feature'!554:554,"AAAAAD/v5tM=",0)</f>
        <v>0</v>
      </c>
      <c r="HE14" t="e">
        <f>AND('Discovery-Processing-QC feature'!A554,"AAAAAD/v5tQ=")</f>
        <v>#VALUE!</v>
      </c>
      <c r="HF14" t="e">
        <f>AND('Discovery-Processing-QC feature'!B554,"AAAAAD/v5tU=")</f>
        <v>#VALUE!</v>
      </c>
      <c r="HG14">
        <f>IF('Discovery-Processing-QC feature'!555:555,"AAAAAD/v5tY=",0)</f>
        <v>0</v>
      </c>
      <c r="HH14" t="e">
        <f>AND('Discovery-Processing-QC feature'!A555,"AAAAAD/v5tc=")</f>
        <v>#VALUE!</v>
      </c>
      <c r="HI14" t="e">
        <f>AND('Discovery-Processing-QC feature'!B555,"AAAAAD/v5tg=")</f>
        <v>#VALUE!</v>
      </c>
      <c r="HJ14">
        <f>IF('Discovery-Processing-QC feature'!556:556,"AAAAAD/v5tk=",0)</f>
        <v>0</v>
      </c>
      <c r="HK14" t="e">
        <f>AND('Discovery-Processing-QC feature'!A556,"AAAAAD/v5to=")</f>
        <v>#VALUE!</v>
      </c>
      <c r="HL14" t="e">
        <f>AND('Discovery-Processing-QC feature'!B556,"AAAAAD/v5ts=")</f>
        <v>#VALUE!</v>
      </c>
      <c r="HM14">
        <f>IF('Discovery-Processing-QC feature'!557:557,"AAAAAD/v5tw=",0)</f>
        <v>0</v>
      </c>
      <c r="HN14" t="e">
        <f>AND('Discovery-Processing-QC feature'!A557,"AAAAAD/v5t0=")</f>
        <v>#VALUE!</v>
      </c>
      <c r="HO14" t="e">
        <f>AND('Discovery-Processing-QC feature'!B557,"AAAAAD/v5t4=")</f>
        <v>#VALUE!</v>
      </c>
      <c r="HP14">
        <f>IF('Discovery-Processing-QC feature'!558:558,"AAAAAD/v5t8=",0)</f>
        <v>0</v>
      </c>
      <c r="HQ14" t="e">
        <f>AND('Discovery-Processing-QC feature'!A558,"AAAAAD/v5uA=")</f>
        <v>#VALUE!</v>
      </c>
      <c r="HR14" t="e">
        <f>AND('Discovery-Processing-QC feature'!B558,"AAAAAD/v5uE=")</f>
        <v>#VALUE!</v>
      </c>
      <c r="HS14">
        <f>IF('Discovery-Processing-QC feature'!559:559,"AAAAAD/v5uI=",0)</f>
        <v>0</v>
      </c>
      <c r="HT14" t="e">
        <f>AND('Discovery-Processing-QC feature'!A559,"AAAAAD/v5uM=")</f>
        <v>#VALUE!</v>
      </c>
      <c r="HU14" t="e">
        <f>AND('Discovery-Processing-QC feature'!B559,"AAAAAD/v5uQ=")</f>
        <v>#VALUE!</v>
      </c>
      <c r="HV14">
        <f>IF('Discovery-Processing-QC feature'!560:560,"AAAAAD/v5uU=",0)</f>
        <v>0</v>
      </c>
      <c r="HW14" t="e">
        <f>AND('Discovery-Processing-QC feature'!A560,"AAAAAD/v5uY=")</f>
        <v>#VALUE!</v>
      </c>
      <c r="HX14" t="e">
        <f>AND('Discovery-Processing-QC feature'!B560,"AAAAAD/v5uc=")</f>
        <v>#VALUE!</v>
      </c>
      <c r="HY14">
        <f>IF('Discovery-Processing-QC feature'!561:561,"AAAAAD/v5ug=",0)</f>
        <v>0</v>
      </c>
      <c r="HZ14" t="e">
        <f>AND('Discovery-Processing-QC feature'!A561,"AAAAAD/v5uk=")</f>
        <v>#VALUE!</v>
      </c>
      <c r="IA14" t="e">
        <f>AND('Discovery-Processing-QC feature'!B561,"AAAAAD/v5uo=")</f>
        <v>#VALUE!</v>
      </c>
      <c r="IB14">
        <f>IF('Discovery-Processing-QC feature'!562:562,"AAAAAD/v5us=",0)</f>
        <v>0</v>
      </c>
      <c r="IC14" t="e">
        <f>AND('Discovery-Processing-QC feature'!A562,"AAAAAD/v5uw=")</f>
        <v>#VALUE!</v>
      </c>
      <c r="ID14" t="e">
        <f>AND('Discovery-Processing-QC feature'!B562,"AAAAAD/v5u0=")</f>
        <v>#VALUE!</v>
      </c>
      <c r="IE14">
        <f>IF('Discovery-Processing-QC feature'!563:563,"AAAAAD/v5u4=",0)</f>
        <v>0</v>
      </c>
      <c r="IF14" t="e">
        <f>AND('Discovery-Processing-QC feature'!A563,"AAAAAD/v5u8=")</f>
        <v>#VALUE!</v>
      </c>
      <c r="IG14" t="e">
        <f>AND('Discovery-Processing-QC feature'!B563,"AAAAAD/v5vA=")</f>
        <v>#VALUE!</v>
      </c>
      <c r="IH14">
        <f>IF('Discovery-Processing-QC feature'!564:564,"AAAAAD/v5vE=",0)</f>
        <v>0</v>
      </c>
      <c r="II14" t="e">
        <f>AND('Discovery-Processing-QC feature'!A564,"AAAAAD/v5vI=")</f>
        <v>#VALUE!</v>
      </c>
      <c r="IJ14" t="e">
        <f>AND('Discovery-Processing-QC feature'!B564,"AAAAAD/v5vM=")</f>
        <v>#VALUE!</v>
      </c>
      <c r="IK14">
        <f>IF('Discovery-Processing-QC feature'!565:565,"AAAAAD/v5vQ=",0)</f>
        <v>0</v>
      </c>
      <c r="IL14" t="e">
        <f>AND('Discovery-Processing-QC feature'!A565,"AAAAAD/v5vU=")</f>
        <v>#VALUE!</v>
      </c>
      <c r="IM14" t="e">
        <f>AND('Discovery-Processing-QC feature'!B565,"AAAAAD/v5vY=")</f>
        <v>#VALUE!</v>
      </c>
      <c r="IN14">
        <f>IF('Discovery-Processing-QC feature'!566:566,"AAAAAD/v5vc=",0)</f>
        <v>0</v>
      </c>
      <c r="IO14" t="e">
        <f>AND('Discovery-Processing-QC feature'!A566,"AAAAAD/v5vg=")</f>
        <v>#VALUE!</v>
      </c>
      <c r="IP14" t="e">
        <f>AND('Discovery-Processing-QC feature'!B566,"AAAAAD/v5vk=")</f>
        <v>#VALUE!</v>
      </c>
      <c r="IQ14">
        <f>IF('Discovery-Processing-QC feature'!567:567,"AAAAAD/v5vo=",0)</f>
        <v>0</v>
      </c>
      <c r="IR14" t="e">
        <f>AND('Discovery-Processing-QC feature'!A567,"AAAAAD/v5vs=")</f>
        <v>#VALUE!</v>
      </c>
      <c r="IS14" t="e">
        <f>AND('Discovery-Processing-QC feature'!B567,"AAAAAD/v5vw=")</f>
        <v>#VALUE!</v>
      </c>
      <c r="IT14">
        <f>IF('Discovery-Processing-QC feature'!568:568,"AAAAAD/v5v0=",0)</f>
        <v>0</v>
      </c>
      <c r="IU14" t="e">
        <f>AND('Discovery-Processing-QC feature'!A568,"AAAAAD/v5v4=")</f>
        <v>#VALUE!</v>
      </c>
      <c r="IV14" t="e">
        <f>AND('Discovery-Processing-QC feature'!B568,"AAAAAD/v5v8=")</f>
        <v>#VALUE!</v>
      </c>
    </row>
    <row r="15" spans="1:256" x14ac:dyDescent="0.2">
      <c r="A15">
        <f>IF('Discovery-Processing-QC feature'!569:569,"AAAAAG9tagA=",0)</f>
        <v>0</v>
      </c>
      <c r="B15" t="e">
        <f>AND('Discovery-Processing-QC feature'!A569,"AAAAAG9tagE=")</f>
        <v>#VALUE!</v>
      </c>
      <c r="C15" t="e">
        <f>AND('Discovery-Processing-QC feature'!B569,"AAAAAG9tagI=")</f>
        <v>#VALUE!</v>
      </c>
      <c r="D15">
        <f>IF('Discovery-Processing-QC feature'!570:570,"AAAAAG9tagM=",0)</f>
        <v>0</v>
      </c>
      <c r="E15" t="e">
        <f>AND('Discovery-Processing-QC feature'!A570,"AAAAAG9tagQ=")</f>
        <v>#VALUE!</v>
      </c>
      <c r="F15" t="e">
        <f>AND('Discovery-Processing-QC feature'!B570,"AAAAAG9tagU=")</f>
        <v>#VALUE!</v>
      </c>
      <c r="G15">
        <f>IF('Discovery-Processing-QC feature'!571:571,"AAAAAG9tagY=",0)</f>
        <v>0</v>
      </c>
      <c r="H15" t="e">
        <f>AND('Discovery-Processing-QC feature'!A571,"AAAAAG9tagc=")</f>
        <v>#VALUE!</v>
      </c>
      <c r="I15" t="e">
        <f>AND('Discovery-Processing-QC feature'!B571,"AAAAAG9tagg=")</f>
        <v>#VALUE!</v>
      </c>
      <c r="J15">
        <f>IF('Discovery-Processing-QC feature'!572:572,"AAAAAG9tagk=",0)</f>
        <v>0</v>
      </c>
      <c r="K15" t="e">
        <f>AND('Discovery-Processing-QC feature'!A572,"AAAAAG9tago=")</f>
        <v>#VALUE!</v>
      </c>
      <c r="L15" t="e">
        <f>AND('Discovery-Processing-QC feature'!B572,"AAAAAG9tags=")</f>
        <v>#VALUE!</v>
      </c>
      <c r="M15">
        <f>IF('Discovery-Processing-QC feature'!573:573,"AAAAAG9tagw=",0)</f>
        <v>0</v>
      </c>
      <c r="N15" t="e">
        <f>AND('Discovery-Processing-QC feature'!A573,"AAAAAG9tag0=")</f>
        <v>#VALUE!</v>
      </c>
      <c r="O15" t="e">
        <f>AND('Discovery-Processing-QC feature'!B573,"AAAAAG9tag4=")</f>
        <v>#VALUE!</v>
      </c>
      <c r="P15">
        <f>IF('Discovery-Processing-QC feature'!574:574,"AAAAAG9tag8=",0)</f>
        <v>0</v>
      </c>
      <c r="Q15" t="e">
        <f>AND('Discovery-Processing-QC feature'!A574,"AAAAAG9tahA=")</f>
        <v>#VALUE!</v>
      </c>
      <c r="R15" t="e">
        <f>AND('Discovery-Processing-QC feature'!B574,"AAAAAG9tahE=")</f>
        <v>#VALUE!</v>
      </c>
      <c r="S15">
        <f>IF('Discovery-Processing-QC feature'!575:575,"AAAAAG9tahI=",0)</f>
        <v>0</v>
      </c>
      <c r="T15" t="e">
        <f>AND('Discovery-Processing-QC feature'!A575,"AAAAAG9tahM=")</f>
        <v>#VALUE!</v>
      </c>
      <c r="U15" t="e">
        <f>AND('Discovery-Processing-QC feature'!B575,"AAAAAG9tahQ=")</f>
        <v>#VALUE!</v>
      </c>
      <c r="V15">
        <f>IF('Discovery-Processing-QC feature'!576:576,"AAAAAG9tahU=",0)</f>
        <v>0</v>
      </c>
      <c r="W15" t="e">
        <f>AND('Discovery-Processing-QC feature'!A576,"AAAAAG9tahY=")</f>
        <v>#VALUE!</v>
      </c>
      <c r="X15" t="e">
        <f>AND('Discovery-Processing-QC feature'!B576,"AAAAAG9tahc=")</f>
        <v>#VALUE!</v>
      </c>
      <c r="Y15">
        <f>IF('Discovery-Processing-QC feature'!577:577,"AAAAAG9tahg=",0)</f>
        <v>0</v>
      </c>
      <c r="Z15" t="e">
        <f>AND('Discovery-Processing-QC feature'!A577,"AAAAAG9tahk=")</f>
        <v>#VALUE!</v>
      </c>
      <c r="AA15" t="e">
        <f>AND('Discovery-Processing-QC feature'!B577,"AAAAAG9taho=")</f>
        <v>#VALUE!</v>
      </c>
      <c r="AB15">
        <f>IF('Discovery-Processing-QC feature'!578:578,"AAAAAG9tahs=",0)</f>
        <v>0</v>
      </c>
      <c r="AC15" t="e">
        <f>AND('Discovery-Processing-QC feature'!A578,"AAAAAG9tahw=")</f>
        <v>#VALUE!</v>
      </c>
      <c r="AD15" t="e">
        <f>AND('Discovery-Processing-QC feature'!B578,"AAAAAG9tah0=")</f>
        <v>#VALUE!</v>
      </c>
      <c r="AE15">
        <f>IF('Discovery-Processing-QC feature'!579:579,"AAAAAG9tah4=",0)</f>
        <v>0</v>
      </c>
      <c r="AF15" t="e">
        <f>AND('Discovery-Processing-QC feature'!A579,"AAAAAG9tah8=")</f>
        <v>#VALUE!</v>
      </c>
      <c r="AG15" t="e">
        <f>AND('Discovery-Processing-QC feature'!B579,"AAAAAG9taiA=")</f>
        <v>#VALUE!</v>
      </c>
      <c r="AH15">
        <f>IF('Discovery-Processing-QC feature'!580:580,"AAAAAG9taiE=",0)</f>
        <v>0</v>
      </c>
      <c r="AI15" t="e">
        <f>AND('Discovery-Processing-QC feature'!A580,"AAAAAG9taiI=")</f>
        <v>#VALUE!</v>
      </c>
      <c r="AJ15" t="e">
        <f>AND('Discovery-Processing-QC feature'!B580,"AAAAAG9taiM=")</f>
        <v>#VALUE!</v>
      </c>
      <c r="AK15">
        <f>IF('Discovery-Processing-QC feature'!581:581,"AAAAAG9taiQ=",0)</f>
        <v>0</v>
      </c>
      <c r="AL15" t="e">
        <f>AND('Discovery-Processing-QC feature'!A581,"AAAAAG9taiU=")</f>
        <v>#VALUE!</v>
      </c>
      <c r="AM15" t="e">
        <f>AND('Discovery-Processing-QC feature'!B581,"AAAAAG9taiY=")</f>
        <v>#VALUE!</v>
      </c>
      <c r="AN15">
        <f>IF('Discovery-Processing-QC feature'!582:582,"AAAAAG9taic=",0)</f>
        <v>0</v>
      </c>
      <c r="AO15" t="e">
        <f>AND('Discovery-Processing-QC feature'!A582,"AAAAAG9taig=")</f>
        <v>#VALUE!</v>
      </c>
      <c r="AP15" t="e">
        <f>AND('Discovery-Processing-QC feature'!B582,"AAAAAG9taik=")</f>
        <v>#VALUE!</v>
      </c>
      <c r="AQ15">
        <f>IF('Discovery-Processing-QC feature'!583:583,"AAAAAG9taio=",0)</f>
        <v>0</v>
      </c>
      <c r="AR15" t="e">
        <f>AND('Discovery-Processing-QC feature'!A583,"AAAAAG9tais=")</f>
        <v>#VALUE!</v>
      </c>
      <c r="AS15" t="e">
        <f>AND('Discovery-Processing-QC feature'!B583,"AAAAAG9taiw=")</f>
        <v>#VALUE!</v>
      </c>
      <c r="AT15">
        <f>IF('Discovery-Processing-QC feature'!584:584,"AAAAAG9tai0=",0)</f>
        <v>0</v>
      </c>
      <c r="AU15" t="e">
        <f>AND('Discovery-Processing-QC feature'!A584,"AAAAAG9tai4=")</f>
        <v>#VALUE!</v>
      </c>
      <c r="AV15" t="e">
        <f>AND('Discovery-Processing-QC feature'!B584,"AAAAAG9tai8=")</f>
        <v>#VALUE!</v>
      </c>
      <c r="AW15">
        <f>IF('Discovery-Processing-QC feature'!585:585,"AAAAAG9tajA=",0)</f>
        <v>0</v>
      </c>
      <c r="AX15" t="e">
        <f>AND('Discovery-Processing-QC feature'!A585,"AAAAAG9tajE=")</f>
        <v>#VALUE!</v>
      </c>
      <c r="AY15" t="e">
        <f>AND('Discovery-Processing-QC feature'!B585,"AAAAAG9tajI=")</f>
        <v>#VALUE!</v>
      </c>
      <c r="AZ15">
        <f>IF('Discovery-Processing-QC feature'!586:586,"AAAAAG9tajM=",0)</f>
        <v>0</v>
      </c>
      <c r="BA15" t="e">
        <f>AND('Discovery-Processing-QC feature'!A586,"AAAAAG9tajQ=")</f>
        <v>#VALUE!</v>
      </c>
      <c r="BB15" t="e">
        <f>AND('Discovery-Processing-QC feature'!B586,"AAAAAG9tajU=")</f>
        <v>#VALUE!</v>
      </c>
      <c r="BC15">
        <f>IF('Discovery-Processing-QC feature'!587:587,"AAAAAG9tajY=",0)</f>
        <v>0</v>
      </c>
      <c r="BD15" t="e">
        <f>AND('Discovery-Processing-QC feature'!A587,"AAAAAG9tajc=")</f>
        <v>#VALUE!</v>
      </c>
      <c r="BE15" t="e">
        <f>AND('Discovery-Processing-QC feature'!B587,"AAAAAG9tajg=")</f>
        <v>#VALUE!</v>
      </c>
      <c r="BF15">
        <f>IF('Discovery-Processing-QC feature'!588:588,"AAAAAG9tajk=",0)</f>
        <v>0</v>
      </c>
      <c r="BG15" t="e">
        <f>AND('Discovery-Processing-QC feature'!A588,"AAAAAG9tajo=")</f>
        <v>#VALUE!</v>
      </c>
      <c r="BH15" t="e">
        <f>AND('Discovery-Processing-QC feature'!B588,"AAAAAG9tajs=")</f>
        <v>#VALUE!</v>
      </c>
      <c r="BI15">
        <f>IF('Discovery-Processing-QC feature'!589:589,"AAAAAG9tajw=",0)</f>
        <v>0</v>
      </c>
      <c r="BJ15" t="e">
        <f>AND('Discovery-Processing-QC feature'!A589,"AAAAAG9taj0=")</f>
        <v>#VALUE!</v>
      </c>
      <c r="BK15" t="e">
        <f>AND('Discovery-Processing-QC feature'!B589,"AAAAAG9taj4=")</f>
        <v>#VALUE!</v>
      </c>
      <c r="BL15">
        <f>IF('Discovery-Processing-QC feature'!590:590,"AAAAAG9taj8=",0)</f>
        <v>0</v>
      </c>
      <c r="BM15" t="e">
        <f>AND('Discovery-Processing-QC feature'!A590,"AAAAAG9takA=")</f>
        <v>#VALUE!</v>
      </c>
      <c r="BN15" t="e">
        <f>AND('Discovery-Processing-QC feature'!B590,"AAAAAG9takE=")</f>
        <v>#VALUE!</v>
      </c>
      <c r="BO15">
        <f>IF('Discovery-Processing-QC feature'!591:591,"AAAAAG9takI=",0)</f>
        <v>0</v>
      </c>
      <c r="BP15" t="e">
        <f>AND('Discovery-Processing-QC feature'!A591,"AAAAAG9takM=")</f>
        <v>#VALUE!</v>
      </c>
      <c r="BQ15" t="e">
        <f>AND('Discovery-Processing-QC feature'!B591,"AAAAAG9takQ=")</f>
        <v>#VALUE!</v>
      </c>
      <c r="BR15">
        <f>IF('Discovery-Processing-QC feature'!592:592,"AAAAAG9takU=",0)</f>
        <v>0</v>
      </c>
      <c r="BS15" t="e">
        <f>AND('Discovery-Processing-QC feature'!A592,"AAAAAG9takY=")</f>
        <v>#VALUE!</v>
      </c>
      <c r="BT15" t="e">
        <f>AND('Discovery-Processing-QC feature'!B592,"AAAAAG9takc=")</f>
        <v>#VALUE!</v>
      </c>
      <c r="BU15">
        <f>IF('Discovery-Processing-QC feature'!593:593,"AAAAAG9takg=",0)</f>
        <v>0</v>
      </c>
      <c r="BV15" t="e">
        <f>AND('Discovery-Processing-QC feature'!A593,"AAAAAG9takk=")</f>
        <v>#VALUE!</v>
      </c>
      <c r="BW15" t="e">
        <f>AND('Discovery-Processing-QC feature'!B593,"AAAAAG9tako=")</f>
        <v>#VALUE!</v>
      </c>
      <c r="BX15">
        <f>IF('Discovery-Processing-QC feature'!594:594,"AAAAAG9taks=",0)</f>
        <v>0</v>
      </c>
      <c r="BY15" t="e">
        <f>AND('Discovery-Processing-QC feature'!A594,"AAAAAG9takw=")</f>
        <v>#VALUE!</v>
      </c>
      <c r="BZ15" t="e">
        <f>AND('Discovery-Processing-QC feature'!B594,"AAAAAG9tak0=")</f>
        <v>#VALUE!</v>
      </c>
      <c r="CA15">
        <f>IF('Discovery-Processing-QC feature'!595:595,"AAAAAG9tak4=",0)</f>
        <v>0</v>
      </c>
      <c r="CB15" t="e">
        <f>AND('Discovery-Processing-QC feature'!A595,"AAAAAG9tak8=")</f>
        <v>#VALUE!</v>
      </c>
      <c r="CC15" t="e">
        <f>AND('Discovery-Processing-QC feature'!B595,"AAAAAG9talA=")</f>
        <v>#VALUE!</v>
      </c>
      <c r="CD15">
        <f>IF('Discovery-Processing-QC feature'!596:596,"AAAAAG9talE=",0)</f>
        <v>0</v>
      </c>
      <c r="CE15" t="e">
        <f>AND('Discovery-Processing-QC feature'!A596,"AAAAAG9talI=")</f>
        <v>#VALUE!</v>
      </c>
      <c r="CF15" t="e">
        <f>AND('Discovery-Processing-QC feature'!B596,"AAAAAG9talM=")</f>
        <v>#VALUE!</v>
      </c>
      <c r="CG15">
        <f>IF('Discovery-Processing-QC feature'!597:597,"AAAAAG9talQ=",0)</f>
        <v>0</v>
      </c>
      <c r="CH15" t="e">
        <f>AND('Discovery-Processing-QC feature'!A597,"AAAAAG9talU=")</f>
        <v>#VALUE!</v>
      </c>
      <c r="CI15" t="e">
        <f>AND('Discovery-Processing-QC feature'!B597,"AAAAAG9talY=")</f>
        <v>#VALUE!</v>
      </c>
      <c r="CJ15">
        <f>IF('Discovery-Processing-QC feature'!598:598,"AAAAAG9talc=",0)</f>
        <v>0</v>
      </c>
      <c r="CK15" t="e">
        <f>AND('Discovery-Processing-QC feature'!A598,"AAAAAG9talg=")</f>
        <v>#VALUE!</v>
      </c>
      <c r="CL15" t="e">
        <f>AND('Discovery-Processing-QC feature'!B598,"AAAAAG9talk=")</f>
        <v>#VALUE!</v>
      </c>
      <c r="CM15">
        <f>IF('Discovery-Processing-QC feature'!599:599,"AAAAAG9talo=",0)</f>
        <v>0</v>
      </c>
      <c r="CN15" t="e">
        <f>AND('Discovery-Processing-QC feature'!A599,"AAAAAG9tals=")</f>
        <v>#VALUE!</v>
      </c>
      <c r="CO15" t="e">
        <f>AND('Discovery-Processing-QC feature'!B599,"AAAAAG9talw=")</f>
        <v>#VALUE!</v>
      </c>
      <c r="CP15">
        <f>IF('Discovery-Processing-QC feature'!600:600,"AAAAAG9tal0=",0)</f>
        <v>0</v>
      </c>
      <c r="CQ15" t="e">
        <f>AND('Discovery-Processing-QC feature'!A600,"AAAAAG9tal4=")</f>
        <v>#VALUE!</v>
      </c>
      <c r="CR15" t="e">
        <f>AND('Discovery-Processing-QC feature'!B600,"AAAAAG9tal8=")</f>
        <v>#VALUE!</v>
      </c>
      <c r="CS15">
        <f>IF('Discovery-Processing-QC feature'!601:601,"AAAAAG9tamA=",0)</f>
        <v>0</v>
      </c>
      <c r="CT15" t="e">
        <f>AND('Discovery-Processing-QC feature'!A601,"AAAAAG9tamE=")</f>
        <v>#VALUE!</v>
      </c>
      <c r="CU15" t="e">
        <f>AND('Discovery-Processing-QC feature'!B601,"AAAAAG9tamI=")</f>
        <v>#VALUE!</v>
      </c>
      <c r="CV15">
        <f>IF('Discovery-Processing-QC feature'!602:602,"AAAAAG9tamM=",0)</f>
        <v>0</v>
      </c>
      <c r="CW15" t="e">
        <f>AND('Discovery-Processing-QC feature'!A602,"AAAAAG9tamQ=")</f>
        <v>#VALUE!</v>
      </c>
      <c r="CX15" t="e">
        <f>AND('Discovery-Processing-QC feature'!B602,"AAAAAG9tamU=")</f>
        <v>#VALUE!</v>
      </c>
      <c r="CY15">
        <f>IF('Discovery-Processing-QC feature'!603:603,"AAAAAG9tamY=",0)</f>
        <v>0</v>
      </c>
      <c r="CZ15" t="e">
        <f>AND('Discovery-Processing-QC feature'!A603,"AAAAAG9tamc=")</f>
        <v>#VALUE!</v>
      </c>
      <c r="DA15" t="e">
        <f>AND('Discovery-Processing-QC feature'!B603,"AAAAAG9tamg=")</f>
        <v>#VALUE!</v>
      </c>
      <c r="DB15">
        <f>IF('Discovery-Processing-QC feature'!604:604,"AAAAAG9tamk=",0)</f>
        <v>0</v>
      </c>
      <c r="DC15" t="e">
        <f>AND('Discovery-Processing-QC feature'!A604,"AAAAAG9tamo=")</f>
        <v>#VALUE!</v>
      </c>
      <c r="DD15" t="e">
        <f>AND('Discovery-Processing-QC feature'!B604,"AAAAAG9tams=")</f>
        <v>#VALUE!</v>
      </c>
      <c r="DE15">
        <f>IF('Discovery-Processing-QC feature'!605:605,"AAAAAG9tamw=",0)</f>
        <v>0</v>
      </c>
      <c r="DF15" t="e">
        <f>AND('Discovery-Processing-QC feature'!A605,"AAAAAG9tam0=")</f>
        <v>#VALUE!</v>
      </c>
      <c r="DG15" t="e">
        <f>AND('Discovery-Processing-QC feature'!B605,"AAAAAG9tam4=")</f>
        <v>#VALUE!</v>
      </c>
      <c r="DH15">
        <f>IF('Discovery-Processing-QC feature'!606:606,"AAAAAG9tam8=",0)</f>
        <v>0</v>
      </c>
      <c r="DI15" t="e">
        <f>AND('Discovery-Processing-QC feature'!A606,"AAAAAG9tanA=")</f>
        <v>#VALUE!</v>
      </c>
      <c r="DJ15" t="e">
        <f>AND('Discovery-Processing-QC feature'!B606,"AAAAAG9tanE=")</f>
        <v>#VALUE!</v>
      </c>
      <c r="DK15">
        <f>IF('Discovery-Processing-QC feature'!607:607,"AAAAAG9tanI=",0)</f>
        <v>0</v>
      </c>
      <c r="DL15" t="e">
        <f>AND('Discovery-Processing-QC feature'!A607,"AAAAAG9tanM=")</f>
        <v>#VALUE!</v>
      </c>
      <c r="DM15" t="e">
        <f>AND('Discovery-Processing-QC feature'!B607,"AAAAAG9tanQ=")</f>
        <v>#VALUE!</v>
      </c>
      <c r="DN15">
        <f>IF('Discovery-Processing-QC feature'!608:608,"AAAAAG9tanU=",0)</f>
        <v>0</v>
      </c>
      <c r="DO15" t="e">
        <f>AND('Discovery-Processing-QC feature'!A608,"AAAAAG9tanY=")</f>
        <v>#VALUE!</v>
      </c>
      <c r="DP15" t="e">
        <f>AND('Discovery-Processing-QC feature'!B608,"AAAAAG9tanc=")</f>
        <v>#VALUE!</v>
      </c>
      <c r="DQ15">
        <f>IF('Discovery-Processing-QC feature'!609:609,"AAAAAG9tang=",0)</f>
        <v>0</v>
      </c>
      <c r="DR15" t="e">
        <f>AND('Discovery-Processing-QC feature'!A609,"AAAAAG9tank=")</f>
        <v>#VALUE!</v>
      </c>
      <c r="DS15" t="e">
        <f>AND('Discovery-Processing-QC feature'!B609,"AAAAAG9tano=")</f>
        <v>#VALUE!</v>
      </c>
      <c r="DT15">
        <f>IF('Discovery-Processing-QC feature'!610:610,"AAAAAG9tans=",0)</f>
        <v>0</v>
      </c>
      <c r="DU15" t="e">
        <f>AND('Discovery-Processing-QC feature'!A610,"AAAAAG9tanw=")</f>
        <v>#VALUE!</v>
      </c>
      <c r="DV15" t="e">
        <f>AND('Discovery-Processing-QC feature'!B610,"AAAAAG9tan0=")</f>
        <v>#VALUE!</v>
      </c>
      <c r="DW15">
        <f>IF('Discovery-Processing-QC feature'!611:611,"AAAAAG9tan4=",0)</f>
        <v>0</v>
      </c>
      <c r="DX15" t="e">
        <f>AND('Discovery-Processing-QC feature'!A611,"AAAAAG9tan8=")</f>
        <v>#VALUE!</v>
      </c>
      <c r="DY15" t="e">
        <f>AND('Discovery-Processing-QC feature'!B611,"AAAAAG9taoA=")</f>
        <v>#VALUE!</v>
      </c>
      <c r="DZ15">
        <f>IF('Discovery-Processing-QC feature'!612:612,"AAAAAG9taoE=",0)</f>
        <v>0</v>
      </c>
      <c r="EA15" t="e">
        <f>AND('Discovery-Processing-QC feature'!A612,"AAAAAG9taoI=")</f>
        <v>#VALUE!</v>
      </c>
      <c r="EB15" t="e">
        <f>AND('Discovery-Processing-QC feature'!B612,"AAAAAG9taoM=")</f>
        <v>#VALUE!</v>
      </c>
      <c r="EC15">
        <f>IF('Discovery-Processing-QC feature'!613:613,"AAAAAG9taoQ=",0)</f>
        <v>0</v>
      </c>
      <c r="ED15" t="e">
        <f>AND('Discovery-Processing-QC feature'!A613,"AAAAAG9taoU=")</f>
        <v>#VALUE!</v>
      </c>
      <c r="EE15" t="e">
        <f>AND('Discovery-Processing-QC feature'!B613,"AAAAAG9taoY=")</f>
        <v>#VALUE!</v>
      </c>
      <c r="EF15">
        <f>IF('Discovery-Processing-QC feature'!614:614,"AAAAAG9taoc=",0)</f>
        <v>0</v>
      </c>
      <c r="EG15" t="e">
        <f>AND('Discovery-Processing-QC feature'!A614,"AAAAAG9taog=")</f>
        <v>#VALUE!</v>
      </c>
      <c r="EH15" t="e">
        <f>AND('Discovery-Processing-QC feature'!B614,"AAAAAG9taok=")</f>
        <v>#VALUE!</v>
      </c>
      <c r="EI15">
        <f>IF('Discovery-Processing-QC feature'!615:615,"AAAAAG9taoo=",0)</f>
        <v>0</v>
      </c>
      <c r="EJ15" t="e">
        <f>AND('Discovery-Processing-QC feature'!A615,"AAAAAG9taos=")</f>
        <v>#VALUE!</v>
      </c>
      <c r="EK15" t="e">
        <f>AND('Discovery-Processing-QC feature'!B615,"AAAAAG9taow=")</f>
        <v>#VALUE!</v>
      </c>
      <c r="EL15">
        <f>IF('Discovery-Processing-QC feature'!616:616,"AAAAAG9tao0=",0)</f>
        <v>0</v>
      </c>
      <c r="EM15" t="e">
        <f>AND('Discovery-Processing-QC feature'!A616,"AAAAAG9tao4=")</f>
        <v>#VALUE!</v>
      </c>
      <c r="EN15" t="e">
        <f>AND('Discovery-Processing-QC feature'!B616,"AAAAAG9tao8=")</f>
        <v>#VALUE!</v>
      </c>
      <c r="EO15">
        <f>IF('Discovery-Processing-QC feature'!617:617,"AAAAAG9tapA=",0)</f>
        <v>0</v>
      </c>
      <c r="EP15" t="e">
        <f>AND('Discovery-Processing-QC feature'!A617,"AAAAAG9tapE=")</f>
        <v>#VALUE!</v>
      </c>
      <c r="EQ15" t="e">
        <f>AND('Discovery-Processing-QC feature'!B617,"AAAAAG9tapI=")</f>
        <v>#VALUE!</v>
      </c>
      <c r="ER15">
        <f>IF('Discovery-Processing-QC feature'!618:618,"AAAAAG9tapM=",0)</f>
        <v>0</v>
      </c>
      <c r="ES15" t="e">
        <f>AND('Discovery-Processing-QC feature'!A618,"AAAAAG9tapQ=")</f>
        <v>#VALUE!</v>
      </c>
      <c r="ET15" t="e">
        <f>AND('Discovery-Processing-QC feature'!B618,"AAAAAG9tapU=")</f>
        <v>#VALUE!</v>
      </c>
      <c r="EU15">
        <f>IF('Discovery-Processing-QC feature'!619:619,"AAAAAG9tapY=",0)</f>
        <v>0</v>
      </c>
      <c r="EV15" t="e">
        <f>AND('Discovery-Processing-QC feature'!A619,"AAAAAG9tapc=")</f>
        <v>#VALUE!</v>
      </c>
      <c r="EW15" t="e">
        <f>AND('Discovery-Processing-QC feature'!B619,"AAAAAG9tapg=")</f>
        <v>#VALUE!</v>
      </c>
      <c r="EX15">
        <f>IF('Discovery-Processing-QC feature'!620:620,"AAAAAG9tapk=",0)</f>
        <v>0</v>
      </c>
      <c r="EY15" t="e">
        <f>AND('Discovery-Processing-QC feature'!A620,"AAAAAG9tapo=")</f>
        <v>#VALUE!</v>
      </c>
      <c r="EZ15" t="e">
        <f>AND('Discovery-Processing-QC feature'!B620,"AAAAAG9taps=")</f>
        <v>#VALUE!</v>
      </c>
      <c r="FA15">
        <f>IF('Discovery-Processing-QC feature'!621:621,"AAAAAG9tapw=",0)</f>
        <v>0</v>
      </c>
      <c r="FB15" t="e">
        <f>AND('Discovery-Processing-QC feature'!A621,"AAAAAG9tap0=")</f>
        <v>#VALUE!</v>
      </c>
      <c r="FC15" t="e">
        <f>AND('Discovery-Processing-QC feature'!B621,"AAAAAG9tap4=")</f>
        <v>#VALUE!</v>
      </c>
      <c r="FD15">
        <f>IF('Discovery-Processing-QC feature'!622:622,"AAAAAG9tap8=",0)</f>
        <v>0</v>
      </c>
      <c r="FE15" t="e">
        <f>AND('Discovery-Processing-QC feature'!A622,"AAAAAG9taqA=")</f>
        <v>#VALUE!</v>
      </c>
      <c r="FF15" t="e">
        <f>AND('Discovery-Processing-QC feature'!B622,"AAAAAG9taqE=")</f>
        <v>#VALUE!</v>
      </c>
      <c r="FG15">
        <f>IF('Discovery-Processing-QC feature'!623:623,"AAAAAG9taqI=",0)</f>
        <v>0</v>
      </c>
      <c r="FH15" t="e">
        <f>AND('Discovery-Processing-QC feature'!A623,"AAAAAG9taqM=")</f>
        <v>#VALUE!</v>
      </c>
      <c r="FI15" t="e">
        <f>AND('Discovery-Processing-QC feature'!B623,"AAAAAG9taqQ=")</f>
        <v>#VALUE!</v>
      </c>
      <c r="FJ15">
        <f>IF('Discovery-Processing-QC feature'!624:624,"AAAAAG9taqU=",0)</f>
        <v>0</v>
      </c>
      <c r="FK15" t="e">
        <f>AND('Discovery-Processing-QC feature'!A624,"AAAAAG9taqY=")</f>
        <v>#VALUE!</v>
      </c>
      <c r="FL15" t="e">
        <f>AND('Discovery-Processing-QC feature'!B624,"AAAAAG9taqc=")</f>
        <v>#VALUE!</v>
      </c>
      <c r="FM15">
        <f>IF('Discovery-Processing-QC feature'!625:625,"AAAAAG9taqg=",0)</f>
        <v>0</v>
      </c>
      <c r="FN15" t="e">
        <f>AND('Discovery-Processing-QC feature'!A625,"AAAAAG9taqk=")</f>
        <v>#VALUE!</v>
      </c>
      <c r="FO15" t="e">
        <f>AND('Discovery-Processing-QC feature'!B625,"AAAAAG9taqo=")</f>
        <v>#VALUE!</v>
      </c>
      <c r="FP15">
        <f>IF('Discovery-Processing-QC feature'!626:626,"AAAAAG9taqs=",0)</f>
        <v>0</v>
      </c>
      <c r="FQ15" t="e">
        <f>AND('Discovery-Processing-QC feature'!A626,"AAAAAG9taqw=")</f>
        <v>#VALUE!</v>
      </c>
      <c r="FR15" t="e">
        <f>AND('Discovery-Processing-QC feature'!B626,"AAAAAG9taq0=")</f>
        <v>#VALUE!</v>
      </c>
      <c r="FS15">
        <f>IF('Discovery-Processing-QC feature'!627:627,"AAAAAG9taq4=",0)</f>
        <v>0</v>
      </c>
      <c r="FT15" t="e">
        <f>AND('Discovery-Processing-QC feature'!A627,"AAAAAG9taq8=")</f>
        <v>#VALUE!</v>
      </c>
      <c r="FU15" t="e">
        <f>AND('Discovery-Processing-QC feature'!B627,"AAAAAG9tarA=")</f>
        <v>#VALUE!</v>
      </c>
      <c r="FV15">
        <f>IF('Discovery-Processing-QC feature'!628:628,"AAAAAG9tarE=",0)</f>
        <v>0</v>
      </c>
      <c r="FW15" t="e">
        <f>AND('Discovery-Processing-QC feature'!A628,"AAAAAG9tarI=")</f>
        <v>#VALUE!</v>
      </c>
      <c r="FX15" t="e">
        <f>AND('Discovery-Processing-QC feature'!B628,"AAAAAG9tarM=")</f>
        <v>#VALUE!</v>
      </c>
      <c r="FY15">
        <f>IF('Discovery-Processing-QC feature'!629:629,"AAAAAG9tarQ=",0)</f>
        <v>0</v>
      </c>
      <c r="FZ15" t="e">
        <f>AND('Discovery-Processing-QC feature'!A629,"AAAAAG9tarU=")</f>
        <v>#VALUE!</v>
      </c>
      <c r="GA15" t="e">
        <f>AND('Discovery-Processing-QC feature'!B629,"AAAAAG9tarY=")</f>
        <v>#VALUE!</v>
      </c>
      <c r="GB15">
        <f>IF('Discovery-Processing-QC feature'!630:630,"AAAAAG9tarc=",0)</f>
        <v>0</v>
      </c>
      <c r="GC15" t="e">
        <f>AND('Discovery-Processing-QC feature'!A630,"AAAAAG9targ=")</f>
        <v>#VALUE!</v>
      </c>
      <c r="GD15" t="e">
        <f>AND('Discovery-Processing-QC feature'!B630,"AAAAAG9tark=")</f>
        <v>#VALUE!</v>
      </c>
      <c r="GE15">
        <f>IF('Discovery-Processing-QC feature'!631:631,"AAAAAG9taro=",0)</f>
        <v>0</v>
      </c>
      <c r="GF15" t="e">
        <f>AND('Discovery-Processing-QC feature'!A631,"AAAAAG9tars=")</f>
        <v>#VALUE!</v>
      </c>
      <c r="GG15" t="e">
        <f>AND('Discovery-Processing-QC feature'!B631,"AAAAAG9tarw=")</f>
        <v>#VALUE!</v>
      </c>
      <c r="GH15">
        <f>IF('Discovery-Processing-QC feature'!632:632,"AAAAAG9tar0=",0)</f>
        <v>0</v>
      </c>
      <c r="GI15" t="e">
        <f>AND('Discovery-Processing-QC feature'!A632,"AAAAAG9tar4=")</f>
        <v>#VALUE!</v>
      </c>
      <c r="GJ15" t="e">
        <f>AND('Discovery-Processing-QC feature'!B632,"AAAAAG9tar8=")</f>
        <v>#VALUE!</v>
      </c>
      <c r="GK15">
        <f>IF('Discovery-Processing-QC feature'!633:633,"AAAAAG9tasA=",0)</f>
        <v>0</v>
      </c>
      <c r="GL15" t="e">
        <f>AND('Discovery-Processing-QC feature'!A633,"AAAAAG9tasE=")</f>
        <v>#VALUE!</v>
      </c>
      <c r="GM15" t="e">
        <f>AND('Discovery-Processing-QC feature'!B633,"AAAAAG9tasI=")</f>
        <v>#VALUE!</v>
      </c>
      <c r="GN15">
        <f>IF('Discovery-Processing-QC feature'!634:634,"AAAAAG9tasM=",0)</f>
        <v>0</v>
      </c>
      <c r="GO15" t="e">
        <f>AND('Discovery-Processing-QC feature'!A634,"AAAAAG9tasQ=")</f>
        <v>#VALUE!</v>
      </c>
      <c r="GP15" t="e">
        <f>AND('Discovery-Processing-QC feature'!B634,"AAAAAG9tasU=")</f>
        <v>#VALUE!</v>
      </c>
      <c r="GQ15">
        <f>IF('Discovery-Processing-QC feature'!635:635,"AAAAAG9tasY=",0)</f>
        <v>0</v>
      </c>
      <c r="GR15" t="e">
        <f>AND('Discovery-Processing-QC feature'!A635,"AAAAAG9tasc=")</f>
        <v>#VALUE!</v>
      </c>
      <c r="GS15" t="e">
        <f>AND('Discovery-Processing-QC feature'!B635,"AAAAAG9tasg=")</f>
        <v>#VALUE!</v>
      </c>
      <c r="GT15">
        <f>IF('Discovery-Processing-QC feature'!636:636,"AAAAAG9task=",0)</f>
        <v>0</v>
      </c>
      <c r="GU15" t="e">
        <f>AND('Discovery-Processing-QC feature'!A636,"AAAAAG9taso=")</f>
        <v>#VALUE!</v>
      </c>
      <c r="GV15" t="e">
        <f>AND('Discovery-Processing-QC feature'!B636,"AAAAAG9tass=")</f>
        <v>#VALUE!</v>
      </c>
      <c r="GW15">
        <f>IF('Discovery-Processing-QC feature'!637:637,"AAAAAG9tasw=",0)</f>
        <v>0</v>
      </c>
      <c r="GX15" t="e">
        <f>AND('Discovery-Processing-QC feature'!A637,"AAAAAG9tas0=")</f>
        <v>#VALUE!</v>
      </c>
      <c r="GY15" t="e">
        <f>AND('Discovery-Processing-QC feature'!B637,"AAAAAG9tas4=")</f>
        <v>#VALUE!</v>
      </c>
      <c r="GZ15">
        <f>IF('Discovery-Processing-QC feature'!638:638,"AAAAAG9tas8=",0)</f>
        <v>0</v>
      </c>
      <c r="HA15" t="e">
        <f>AND('Discovery-Processing-QC feature'!A638,"AAAAAG9tatA=")</f>
        <v>#VALUE!</v>
      </c>
      <c r="HB15" t="e">
        <f>AND('Discovery-Processing-QC feature'!B638,"AAAAAG9tatE=")</f>
        <v>#VALUE!</v>
      </c>
      <c r="HC15">
        <f>IF('Discovery-Processing-QC feature'!639:639,"AAAAAG9tatI=",0)</f>
        <v>0</v>
      </c>
      <c r="HD15" t="e">
        <f>AND('Discovery-Processing-QC feature'!A639,"AAAAAG9tatM=")</f>
        <v>#VALUE!</v>
      </c>
      <c r="HE15" t="e">
        <f>AND('Discovery-Processing-QC feature'!B639,"AAAAAG9tatQ=")</f>
        <v>#VALUE!</v>
      </c>
      <c r="HF15">
        <f>IF('Discovery-Processing-QC feature'!640:640,"AAAAAG9tatU=",0)</f>
        <v>0</v>
      </c>
      <c r="HG15" t="e">
        <f>AND('Discovery-Processing-QC feature'!A640,"AAAAAG9tatY=")</f>
        <v>#VALUE!</v>
      </c>
      <c r="HH15" t="e">
        <f>AND('Discovery-Processing-QC feature'!B640,"AAAAAG9tatc=")</f>
        <v>#VALUE!</v>
      </c>
      <c r="HI15">
        <f>IF('Discovery-Processing-QC feature'!641:641,"AAAAAG9tatg=",0)</f>
        <v>0</v>
      </c>
      <c r="HJ15" t="e">
        <f>AND('Discovery-Processing-QC feature'!A641,"AAAAAG9tatk=")</f>
        <v>#VALUE!</v>
      </c>
      <c r="HK15" t="e">
        <f>AND('Discovery-Processing-QC feature'!B641,"AAAAAG9tato=")</f>
        <v>#VALUE!</v>
      </c>
      <c r="HL15">
        <f>IF('Discovery-Processing-QC feature'!642:642,"AAAAAG9tats=",0)</f>
        <v>0</v>
      </c>
      <c r="HM15" t="e">
        <f>AND('Discovery-Processing-QC feature'!A642,"AAAAAG9tatw=")</f>
        <v>#VALUE!</v>
      </c>
      <c r="HN15" t="e">
        <f>AND('Discovery-Processing-QC feature'!B642,"AAAAAG9tat0=")</f>
        <v>#VALUE!</v>
      </c>
      <c r="HO15">
        <f>IF('Discovery-Processing-QC feature'!643:643,"AAAAAG9tat4=",0)</f>
        <v>0</v>
      </c>
      <c r="HP15" t="e">
        <f>AND('Discovery-Processing-QC feature'!A643,"AAAAAG9tat8=")</f>
        <v>#VALUE!</v>
      </c>
      <c r="HQ15" t="e">
        <f>AND('Discovery-Processing-QC feature'!B643,"AAAAAG9tauA=")</f>
        <v>#VALUE!</v>
      </c>
      <c r="HR15">
        <f>IF('Discovery-Processing-QC feature'!644:644,"AAAAAG9tauE=",0)</f>
        <v>0</v>
      </c>
      <c r="HS15" t="e">
        <f>AND('Discovery-Processing-QC feature'!A644,"AAAAAG9tauI=")</f>
        <v>#VALUE!</v>
      </c>
      <c r="HT15" t="e">
        <f>AND('Discovery-Processing-QC feature'!B644,"AAAAAG9tauM=")</f>
        <v>#VALUE!</v>
      </c>
      <c r="HU15">
        <f>IF('Discovery-Processing-QC feature'!645:645,"AAAAAG9tauQ=",0)</f>
        <v>0</v>
      </c>
      <c r="HV15" t="e">
        <f>AND('Discovery-Processing-QC feature'!A645,"AAAAAG9tauU=")</f>
        <v>#VALUE!</v>
      </c>
      <c r="HW15" t="e">
        <f>AND('Discovery-Processing-QC feature'!B645,"AAAAAG9tauY=")</f>
        <v>#VALUE!</v>
      </c>
      <c r="HX15">
        <f>IF('Discovery-Processing-QC feature'!646:646,"AAAAAG9tauc=",0)</f>
        <v>0</v>
      </c>
      <c r="HY15" t="e">
        <f>AND('Discovery-Processing-QC feature'!A646,"AAAAAG9taug=")</f>
        <v>#VALUE!</v>
      </c>
      <c r="HZ15" t="e">
        <f>AND('Discovery-Processing-QC feature'!B646,"AAAAAG9tauk=")</f>
        <v>#VALUE!</v>
      </c>
      <c r="IA15">
        <f>IF('Discovery-Processing-QC feature'!647:647,"AAAAAG9tauo=",0)</f>
        <v>0</v>
      </c>
      <c r="IB15" t="e">
        <f>AND('Discovery-Processing-QC feature'!A647,"AAAAAG9taus=")</f>
        <v>#VALUE!</v>
      </c>
      <c r="IC15" t="e">
        <f>AND('Discovery-Processing-QC feature'!B647,"AAAAAG9tauw=")</f>
        <v>#VALUE!</v>
      </c>
      <c r="ID15">
        <f>IF('Discovery-Processing-QC feature'!648:648,"AAAAAG9tau0=",0)</f>
        <v>0</v>
      </c>
      <c r="IE15" t="e">
        <f>AND('Discovery-Processing-QC feature'!A648,"AAAAAG9tau4=")</f>
        <v>#VALUE!</v>
      </c>
      <c r="IF15" t="e">
        <f>AND('Discovery-Processing-QC feature'!B648,"AAAAAG9tau8=")</f>
        <v>#VALUE!</v>
      </c>
      <c r="IG15">
        <f>IF('Discovery-Processing-QC feature'!649:649,"AAAAAG9tavA=",0)</f>
        <v>0</v>
      </c>
      <c r="IH15" t="e">
        <f>AND('Discovery-Processing-QC feature'!A649,"AAAAAG9tavE=")</f>
        <v>#VALUE!</v>
      </c>
      <c r="II15" t="e">
        <f>AND('Discovery-Processing-QC feature'!B649,"AAAAAG9tavI=")</f>
        <v>#VALUE!</v>
      </c>
      <c r="IJ15">
        <f>IF('Discovery-Processing-QC feature'!650:650,"AAAAAG9tavM=",0)</f>
        <v>0</v>
      </c>
      <c r="IK15" t="e">
        <f>AND('Discovery-Processing-QC feature'!A650,"AAAAAG9tavQ=")</f>
        <v>#VALUE!</v>
      </c>
      <c r="IL15" t="e">
        <f>AND('Discovery-Processing-QC feature'!B650,"AAAAAG9tavU=")</f>
        <v>#VALUE!</v>
      </c>
      <c r="IM15">
        <f>IF('Discovery-Processing-QC feature'!651:651,"AAAAAG9tavY=",0)</f>
        <v>0</v>
      </c>
      <c r="IN15" t="e">
        <f>AND('Discovery-Processing-QC feature'!A651,"AAAAAG9tavc=")</f>
        <v>#VALUE!</v>
      </c>
      <c r="IO15" t="e">
        <f>AND('Discovery-Processing-QC feature'!B651,"AAAAAG9tavg=")</f>
        <v>#VALUE!</v>
      </c>
      <c r="IP15">
        <f>IF('Discovery-Processing-QC feature'!652:652,"AAAAAG9tavk=",0)</f>
        <v>0</v>
      </c>
      <c r="IQ15" t="e">
        <f>AND('Discovery-Processing-QC feature'!A652,"AAAAAG9tavo=")</f>
        <v>#VALUE!</v>
      </c>
      <c r="IR15" t="e">
        <f>AND('Discovery-Processing-QC feature'!B652,"AAAAAG9tavs=")</f>
        <v>#VALUE!</v>
      </c>
      <c r="IS15">
        <f>IF('Discovery-Processing-QC feature'!653:653,"AAAAAG9tavw=",0)</f>
        <v>0</v>
      </c>
      <c r="IT15" t="e">
        <f>AND('Discovery-Processing-QC feature'!A653,"AAAAAG9tav0=")</f>
        <v>#VALUE!</v>
      </c>
      <c r="IU15" t="e">
        <f>AND('Discovery-Processing-QC feature'!B653,"AAAAAG9tav4=")</f>
        <v>#VALUE!</v>
      </c>
      <c r="IV15">
        <f>IF('Discovery-Processing-QC feature'!654:654,"AAAAAG9tav8=",0)</f>
        <v>0</v>
      </c>
    </row>
    <row r="16" spans="1:256" x14ac:dyDescent="0.2">
      <c r="A16" t="e">
        <f>AND('Discovery-Processing-QC feature'!A654,"AAAAAH/apgA=")</f>
        <v>#VALUE!</v>
      </c>
      <c r="B16" t="e">
        <f>AND('Discovery-Processing-QC feature'!B654,"AAAAAH/apgE=")</f>
        <v>#VALUE!</v>
      </c>
      <c r="C16">
        <f>IF('Discovery-Processing-QC feature'!655:655,"AAAAAH/apgI=",0)</f>
        <v>0</v>
      </c>
      <c r="D16" t="e">
        <f>AND('Discovery-Processing-QC feature'!A655,"AAAAAH/apgM=")</f>
        <v>#VALUE!</v>
      </c>
      <c r="E16" t="e">
        <f>AND('Discovery-Processing-QC feature'!B655,"AAAAAH/apgQ=")</f>
        <v>#VALUE!</v>
      </c>
      <c r="F16">
        <f>IF('Discovery-Processing-QC feature'!656:656,"AAAAAH/apgU=",0)</f>
        <v>0</v>
      </c>
      <c r="G16" t="e">
        <f>AND('Discovery-Processing-QC feature'!A656,"AAAAAH/apgY=")</f>
        <v>#VALUE!</v>
      </c>
      <c r="H16" t="e">
        <f>AND('Discovery-Processing-QC feature'!B656,"AAAAAH/apgc=")</f>
        <v>#VALUE!</v>
      </c>
      <c r="I16">
        <f>IF('Discovery-Processing-QC feature'!657:657,"AAAAAH/apgg=",0)</f>
        <v>0</v>
      </c>
      <c r="J16" t="e">
        <f>AND('Discovery-Processing-QC feature'!A657,"AAAAAH/apgk=")</f>
        <v>#VALUE!</v>
      </c>
      <c r="K16" t="e">
        <f>AND('Discovery-Processing-QC feature'!B657,"AAAAAH/apgo=")</f>
        <v>#VALUE!</v>
      </c>
      <c r="L16">
        <f>IF('Discovery-Processing-QC feature'!658:658,"AAAAAH/apgs=",0)</f>
        <v>0</v>
      </c>
      <c r="M16" t="e">
        <f>AND('Discovery-Processing-QC feature'!A658,"AAAAAH/apgw=")</f>
        <v>#VALUE!</v>
      </c>
      <c r="N16" t="e">
        <f>AND('Discovery-Processing-QC feature'!B658,"AAAAAH/apg0=")</f>
        <v>#VALUE!</v>
      </c>
      <c r="O16">
        <f>IF('Discovery-Processing-QC feature'!659:659,"AAAAAH/apg4=",0)</f>
        <v>0</v>
      </c>
      <c r="P16" t="e">
        <f>AND('Discovery-Processing-QC feature'!A659,"AAAAAH/apg8=")</f>
        <v>#VALUE!</v>
      </c>
      <c r="Q16" t="e">
        <f>AND('Discovery-Processing-QC feature'!B659,"AAAAAH/aphA=")</f>
        <v>#VALUE!</v>
      </c>
      <c r="R16">
        <f>IF('Discovery-Processing-QC feature'!660:660,"AAAAAH/aphE=",0)</f>
        <v>0</v>
      </c>
      <c r="S16" t="e">
        <f>AND('Discovery-Processing-QC feature'!A660,"AAAAAH/aphI=")</f>
        <v>#VALUE!</v>
      </c>
      <c r="T16" t="e">
        <f>AND('Discovery-Processing-QC feature'!B660,"AAAAAH/aphM=")</f>
        <v>#VALUE!</v>
      </c>
      <c r="U16">
        <f>IF('Discovery-Processing-QC feature'!661:661,"AAAAAH/aphQ=",0)</f>
        <v>0</v>
      </c>
      <c r="V16" t="e">
        <f>AND('Discovery-Processing-QC feature'!A661,"AAAAAH/aphU=")</f>
        <v>#VALUE!</v>
      </c>
      <c r="W16" t="e">
        <f>AND('Discovery-Processing-QC feature'!B661,"AAAAAH/aphY=")</f>
        <v>#VALUE!</v>
      </c>
      <c r="X16">
        <f>IF('Discovery-Processing-QC feature'!662:662,"AAAAAH/aphc=",0)</f>
        <v>0</v>
      </c>
      <c r="Y16" t="e">
        <f>AND('Discovery-Processing-QC feature'!A662,"AAAAAH/aphg=")</f>
        <v>#VALUE!</v>
      </c>
      <c r="Z16" t="e">
        <f>AND('Discovery-Processing-QC feature'!B662,"AAAAAH/aphk=")</f>
        <v>#VALUE!</v>
      </c>
      <c r="AA16">
        <f>IF('Discovery-Processing-QC feature'!663:663,"AAAAAH/apho=",0)</f>
        <v>0</v>
      </c>
      <c r="AB16" t="e">
        <f>AND('Discovery-Processing-QC feature'!A663,"AAAAAH/aphs=")</f>
        <v>#VALUE!</v>
      </c>
      <c r="AC16" t="e">
        <f>AND('Discovery-Processing-QC feature'!B663,"AAAAAH/aphw=")</f>
        <v>#VALUE!</v>
      </c>
      <c r="AD16">
        <f>IF('Discovery-Processing-QC feature'!664:664,"AAAAAH/aph0=",0)</f>
        <v>0</v>
      </c>
      <c r="AE16" t="e">
        <f>AND('Discovery-Processing-QC feature'!A664,"AAAAAH/aph4=")</f>
        <v>#VALUE!</v>
      </c>
      <c r="AF16" t="e">
        <f>AND('Discovery-Processing-QC feature'!B664,"AAAAAH/aph8=")</f>
        <v>#VALUE!</v>
      </c>
      <c r="AG16">
        <f>IF('Discovery-Processing-QC feature'!665:665,"AAAAAH/apiA=",0)</f>
        <v>0</v>
      </c>
      <c r="AH16" t="e">
        <f>AND('Discovery-Processing-QC feature'!A665,"AAAAAH/apiE=")</f>
        <v>#VALUE!</v>
      </c>
      <c r="AI16" t="e">
        <f>AND('Discovery-Processing-QC feature'!B665,"AAAAAH/apiI=")</f>
        <v>#VALUE!</v>
      </c>
      <c r="AJ16">
        <f>IF('Discovery-Processing-QC feature'!666:666,"AAAAAH/apiM=",0)</f>
        <v>0</v>
      </c>
      <c r="AK16" t="e">
        <f>AND('Discovery-Processing-QC feature'!A666,"AAAAAH/apiQ=")</f>
        <v>#VALUE!</v>
      </c>
      <c r="AL16" t="e">
        <f>AND('Discovery-Processing-QC feature'!B666,"AAAAAH/apiU=")</f>
        <v>#VALUE!</v>
      </c>
      <c r="AM16">
        <f>IF('Discovery-Processing-QC feature'!667:667,"AAAAAH/apiY=",0)</f>
        <v>0</v>
      </c>
      <c r="AN16" t="e">
        <f>AND('Discovery-Processing-QC feature'!A667,"AAAAAH/apic=")</f>
        <v>#VALUE!</v>
      </c>
      <c r="AO16" t="e">
        <f>AND('Discovery-Processing-QC feature'!B667,"AAAAAH/apig=")</f>
        <v>#VALUE!</v>
      </c>
      <c r="AP16">
        <f>IF('Discovery-Processing-QC feature'!668:668,"AAAAAH/apik=",0)</f>
        <v>0</v>
      </c>
      <c r="AQ16" t="e">
        <f>AND('Discovery-Processing-QC feature'!A668,"AAAAAH/apio=")</f>
        <v>#VALUE!</v>
      </c>
      <c r="AR16" t="e">
        <f>AND('Discovery-Processing-QC feature'!B668,"AAAAAH/apis=")</f>
        <v>#VALUE!</v>
      </c>
      <c r="AS16">
        <f>IF('Discovery-Processing-QC feature'!669:669,"AAAAAH/apiw=",0)</f>
        <v>0</v>
      </c>
      <c r="AT16" t="e">
        <f>AND('Discovery-Processing-QC feature'!A669,"AAAAAH/api0=")</f>
        <v>#VALUE!</v>
      </c>
      <c r="AU16" t="e">
        <f>AND('Discovery-Processing-QC feature'!B669,"AAAAAH/api4=")</f>
        <v>#VALUE!</v>
      </c>
      <c r="AV16">
        <f>IF('Discovery-Processing-QC feature'!670:670,"AAAAAH/api8=",0)</f>
        <v>0</v>
      </c>
      <c r="AW16" t="e">
        <f>AND('Discovery-Processing-QC feature'!A670,"AAAAAH/apjA=")</f>
        <v>#VALUE!</v>
      </c>
      <c r="AX16" t="e">
        <f>AND('Discovery-Processing-QC feature'!B670,"AAAAAH/apjE=")</f>
        <v>#VALUE!</v>
      </c>
      <c r="AY16">
        <f>IF('Discovery-Processing-QC feature'!671:671,"AAAAAH/apjI=",0)</f>
        <v>0</v>
      </c>
      <c r="AZ16" t="e">
        <f>AND('Discovery-Processing-QC feature'!A671,"AAAAAH/apjM=")</f>
        <v>#VALUE!</v>
      </c>
      <c r="BA16" t="e">
        <f>AND('Discovery-Processing-QC feature'!B671,"AAAAAH/apjQ=")</f>
        <v>#VALUE!</v>
      </c>
      <c r="BB16">
        <f>IF('Discovery-Processing-QC feature'!672:672,"AAAAAH/apjU=",0)</f>
        <v>0</v>
      </c>
      <c r="BC16" t="e">
        <f>AND('Discovery-Processing-QC feature'!A672,"AAAAAH/apjY=")</f>
        <v>#VALUE!</v>
      </c>
      <c r="BD16" t="e">
        <f>AND('Discovery-Processing-QC feature'!B672,"AAAAAH/apjc=")</f>
        <v>#VALUE!</v>
      </c>
      <c r="BE16">
        <f>IF('Discovery-Processing-QC feature'!673:673,"AAAAAH/apjg=",0)</f>
        <v>0</v>
      </c>
      <c r="BF16" t="e">
        <f>AND('Discovery-Processing-QC feature'!A673,"AAAAAH/apjk=")</f>
        <v>#VALUE!</v>
      </c>
      <c r="BG16" t="e">
        <f>AND('Discovery-Processing-QC feature'!B673,"AAAAAH/apjo=")</f>
        <v>#VALUE!</v>
      </c>
      <c r="BH16">
        <f>IF('Discovery-Processing-QC feature'!674:674,"AAAAAH/apjs=",0)</f>
        <v>0</v>
      </c>
      <c r="BI16" t="e">
        <f>AND('Discovery-Processing-QC feature'!A674,"AAAAAH/apjw=")</f>
        <v>#VALUE!</v>
      </c>
      <c r="BJ16" t="e">
        <f>AND('Discovery-Processing-QC feature'!B674,"AAAAAH/apj0=")</f>
        <v>#VALUE!</v>
      </c>
      <c r="BK16">
        <f>IF('Discovery-Processing-QC feature'!675:675,"AAAAAH/apj4=",0)</f>
        <v>0</v>
      </c>
      <c r="BL16" t="e">
        <f>AND('Discovery-Processing-QC feature'!A675,"AAAAAH/apj8=")</f>
        <v>#VALUE!</v>
      </c>
      <c r="BM16" t="e">
        <f>AND('Discovery-Processing-QC feature'!B675,"AAAAAH/apkA=")</f>
        <v>#VALUE!</v>
      </c>
      <c r="BN16">
        <f>IF('Discovery-Processing-QC feature'!676:676,"AAAAAH/apkE=",0)</f>
        <v>0</v>
      </c>
      <c r="BO16" t="e">
        <f>AND('Discovery-Processing-QC feature'!A676,"AAAAAH/apkI=")</f>
        <v>#VALUE!</v>
      </c>
      <c r="BP16" t="e">
        <f>AND('Discovery-Processing-QC feature'!B676,"AAAAAH/apkM=")</f>
        <v>#VALUE!</v>
      </c>
      <c r="BQ16">
        <f>IF('Discovery-Processing-QC feature'!677:677,"AAAAAH/apkQ=",0)</f>
        <v>0</v>
      </c>
      <c r="BR16" t="e">
        <f>AND('Discovery-Processing-QC feature'!A677,"AAAAAH/apkU=")</f>
        <v>#VALUE!</v>
      </c>
      <c r="BS16" t="e">
        <f>AND('Discovery-Processing-QC feature'!B677,"AAAAAH/apkY=")</f>
        <v>#VALUE!</v>
      </c>
      <c r="BT16">
        <f>IF('Discovery-Processing-QC feature'!678:678,"AAAAAH/apkc=",0)</f>
        <v>0</v>
      </c>
      <c r="BU16" t="e">
        <f>AND('Discovery-Processing-QC feature'!A678,"AAAAAH/apkg=")</f>
        <v>#VALUE!</v>
      </c>
      <c r="BV16" t="e">
        <f>AND('Discovery-Processing-QC feature'!B678,"AAAAAH/apkk=")</f>
        <v>#VALUE!</v>
      </c>
      <c r="BW16">
        <f>IF('Discovery-Processing-QC feature'!679:679,"AAAAAH/apko=",0)</f>
        <v>0</v>
      </c>
      <c r="BX16" t="e">
        <f>AND('Discovery-Processing-QC feature'!A679,"AAAAAH/apks=")</f>
        <v>#VALUE!</v>
      </c>
      <c r="BY16" t="e">
        <f>AND('Discovery-Processing-QC feature'!B679,"AAAAAH/apkw=")</f>
        <v>#VALUE!</v>
      </c>
      <c r="BZ16">
        <f>IF('Discovery-Processing-QC feature'!680:680,"AAAAAH/apk0=",0)</f>
        <v>0</v>
      </c>
      <c r="CA16" t="e">
        <f>AND('Discovery-Processing-QC feature'!A680,"AAAAAH/apk4=")</f>
        <v>#VALUE!</v>
      </c>
      <c r="CB16" t="e">
        <f>AND('Discovery-Processing-QC feature'!B680,"AAAAAH/apk8=")</f>
        <v>#VALUE!</v>
      </c>
      <c r="CC16">
        <f>IF('Discovery-Processing-QC feature'!681:681,"AAAAAH/aplA=",0)</f>
        <v>0</v>
      </c>
      <c r="CD16" t="e">
        <f>AND('Discovery-Processing-QC feature'!A681,"AAAAAH/aplE=")</f>
        <v>#VALUE!</v>
      </c>
      <c r="CE16" t="e">
        <f>AND('Discovery-Processing-QC feature'!B681,"AAAAAH/aplI=")</f>
        <v>#VALUE!</v>
      </c>
      <c r="CF16">
        <f>IF('Discovery-Processing-QC feature'!682:682,"AAAAAH/aplM=",0)</f>
        <v>0</v>
      </c>
      <c r="CG16" t="e">
        <f>AND('Discovery-Processing-QC feature'!A682,"AAAAAH/aplQ=")</f>
        <v>#VALUE!</v>
      </c>
      <c r="CH16" t="e">
        <f>AND('Discovery-Processing-QC feature'!B682,"AAAAAH/aplU=")</f>
        <v>#VALUE!</v>
      </c>
      <c r="CI16">
        <f>IF('Discovery-Processing-QC feature'!683:683,"AAAAAH/aplY=",0)</f>
        <v>0</v>
      </c>
      <c r="CJ16" t="e">
        <f>AND('Discovery-Processing-QC feature'!A683,"AAAAAH/aplc=")</f>
        <v>#VALUE!</v>
      </c>
      <c r="CK16" t="e">
        <f>AND('Discovery-Processing-QC feature'!B683,"AAAAAH/aplg=")</f>
        <v>#VALUE!</v>
      </c>
      <c r="CL16">
        <f>IF('Discovery-Processing-QC feature'!684:684,"AAAAAH/aplk=",0)</f>
        <v>0</v>
      </c>
      <c r="CM16" t="e">
        <f>AND('Discovery-Processing-QC feature'!A684,"AAAAAH/aplo=")</f>
        <v>#VALUE!</v>
      </c>
      <c r="CN16" t="e">
        <f>AND('Discovery-Processing-QC feature'!B684,"AAAAAH/apls=")</f>
        <v>#VALUE!</v>
      </c>
      <c r="CO16">
        <f>IF('Discovery-Processing-QC feature'!685:685,"AAAAAH/aplw=",0)</f>
        <v>0</v>
      </c>
      <c r="CP16" t="e">
        <f>AND('Discovery-Processing-QC feature'!A685,"AAAAAH/apl0=")</f>
        <v>#VALUE!</v>
      </c>
      <c r="CQ16" t="e">
        <f>AND('Discovery-Processing-QC feature'!B685,"AAAAAH/apl4=")</f>
        <v>#VALUE!</v>
      </c>
      <c r="CR16">
        <f>IF('Discovery-Processing-QC feature'!686:686,"AAAAAH/apl8=",0)</f>
        <v>0</v>
      </c>
      <c r="CS16" t="e">
        <f>AND('Discovery-Processing-QC feature'!A686,"AAAAAH/apmA=")</f>
        <v>#VALUE!</v>
      </c>
      <c r="CT16" t="e">
        <f>AND('Discovery-Processing-QC feature'!B686,"AAAAAH/apmE=")</f>
        <v>#VALUE!</v>
      </c>
      <c r="CU16">
        <f>IF('Discovery-Processing-QC feature'!687:687,"AAAAAH/apmI=",0)</f>
        <v>0</v>
      </c>
      <c r="CV16" t="e">
        <f>AND('Discovery-Processing-QC feature'!A687,"AAAAAH/apmM=")</f>
        <v>#VALUE!</v>
      </c>
      <c r="CW16" t="e">
        <f>AND('Discovery-Processing-QC feature'!B687,"AAAAAH/apmQ=")</f>
        <v>#VALUE!</v>
      </c>
      <c r="CX16">
        <f>IF('Discovery-Processing-QC feature'!688:688,"AAAAAH/apmU=",0)</f>
        <v>0</v>
      </c>
      <c r="CY16" t="e">
        <f>AND('Discovery-Processing-QC feature'!A688,"AAAAAH/apmY=")</f>
        <v>#VALUE!</v>
      </c>
      <c r="CZ16" t="e">
        <f>AND('Discovery-Processing-QC feature'!B688,"AAAAAH/apmc=")</f>
        <v>#VALUE!</v>
      </c>
      <c r="DA16">
        <f>IF('Discovery-Processing-QC feature'!689:689,"AAAAAH/apmg=",0)</f>
        <v>0</v>
      </c>
      <c r="DB16" t="e">
        <f>AND('Discovery-Processing-QC feature'!A689,"AAAAAH/apmk=")</f>
        <v>#VALUE!</v>
      </c>
      <c r="DC16" t="e">
        <f>AND('Discovery-Processing-QC feature'!B689,"AAAAAH/apmo=")</f>
        <v>#VALUE!</v>
      </c>
      <c r="DD16">
        <f>IF('Discovery-Processing-QC feature'!690:690,"AAAAAH/apms=",0)</f>
        <v>0</v>
      </c>
      <c r="DE16" t="e">
        <f>AND('Discovery-Processing-QC feature'!A690,"AAAAAH/apmw=")</f>
        <v>#VALUE!</v>
      </c>
      <c r="DF16" t="e">
        <f>AND('Discovery-Processing-QC feature'!B690,"AAAAAH/apm0=")</f>
        <v>#VALUE!</v>
      </c>
      <c r="DG16">
        <f>IF('Discovery-Processing-QC feature'!691:691,"AAAAAH/apm4=",0)</f>
        <v>0</v>
      </c>
      <c r="DH16" t="e">
        <f>AND('Discovery-Processing-QC feature'!A691,"AAAAAH/apm8=")</f>
        <v>#VALUE!</v>
      </c>
      <c r="DI16" t="e">
        <f>AND('Discovery-Processing-QC feature'!B691,"AAAAAH/apnA=")</f>
        <v>#VALUE!</v>
      </c>
      <c r="DJ16">
        <f>IF('Discovery-Processing-QC feature'!692:692,"AAAAAH/apnE=",0)</f>
        <v>0</v>
      </c>
      <c r="DK16" t="e">
        <f>AND('Discovery-Processing-QC feature'!A692,"AAAAAH/apnI=")</f>
        <v>#VALUE!</v>
      </c>
      <c r="DL16" t="e">
        <f>AND('Discovery-Processing-QC feature'!B692,"AAAAAH/apnM=")</f>
        <v>#VALUE!</v>
      </c>
      <c r="DM16">
        <f>IF('Discovery-Processing-QC feature'!693:693,"AAAAAH/apnQ=",0)</f>
        <v>0</v>
      </c>
      <c r="DN16" t="e">
        <f>AND('Discovery-Processing-QC feature'!A693,"AAAAAH/apnU=")</f>
        <v>#VALUE!</v>
      </c>
      <c r="DO16" t="e">
        <f>AND('Discovery-Processing-QC feature'!B693,"AAAAAH/apnY=")</f>
        <v>#VALUE!</v>
      </c>
      <c r="DP16">
        <f>IF('Discovery-Processing-QC feature'!694:694,"AAAAAH/apnc=",0)</f>
        <v>0</v>
      </c>
      <c r="DQ16" t="e">
        <f>AND('Discovery-Processing-QC feature'!A694,"AAAAAH/apng=")</f>
        <v>#VALUE!</v>
      </c>
      <c r="DR16" t="e">
        <f>AND('Discovery-Processing-QC feature'!B694,"AAAAAH/apnk=")</f>
        <v>#VALUE!</v>
      </c>
      <c r="DS16">
        <f>IF('Discovery-Processing-QC feature'!695:695,"AAAAAH/apno=",0)</f>
        <v>0</v>
      </c>
      <c r="DT16" t="e">
        <f>AND('Discovery-Processing-QC feature'!A695,"AAAAAH/apns=")</f>
        <v>#VALUE!</v>
      </c>
      <c r="DU16" t="e">
        <f>AND('Discovery-Processing-QC feature'!B695,"AAAAAH/apnw=")</f>
        <v>#VALUE!</v>
      </c>
      <c r="DV16">
        <f>IF('Discovery-Processing-QC feature'!696:696,"AAAAAH/apn0=",0)</f>
        <v>0</v>
      </c>
      <c r="DW16" t="e">
        <f>AND('Discovery-Processing-QC feature'!A696,"AAAAAH/apn4=")</f>
        <v>#VALUE!</v>
      </c>
      <c r="DX16" t="e">
        <f>AND('Discovery-Processing-QC feature'!B696,"AAAAAH/apn8=")</f>
        <v>#VALUE!</v>
      </c>
      <c r="DY16">
        <f>IF('Discovery-Processing-QC feature'!697:697,"AAAAAH/apoA=",0)</f>
        <v>0</v>
      </c>
      <c r="DZ16" t="e">
        <f>AND('Discovery-Processing-QC feature'!A697,"AAAAAH/apoE=")</f>
        <v>#VALUE!</v>
      </c>
      <c r="EA16" t="e">
        <f>AND('Discovery-Processing-QC feature'!B697,"AAAAAH/apoI=")</f>
        <v>#VALUE!</v>
      </c>
      <c r="EB16">
        <f>IF('Discovery-Processing-QC feature'!698:698,"AAAAAH/apoM=",0)</f>
        <v>0</v>
      </c>
      <c r="EC16" t="e">
        <f>AND('Discovery-Processing-QC feature'!A698,"AAAAAH/apoQ=")</f>
        <v>#VALUE!</v>
      </c>
      <c r="ED16" t="e">
        <f>AND('Discovery-Processing-QC feature'!B698,"AAAAAH/apoU=")</f>
        <v>#VALUE!</v>
      </c>
      <c r="EE16">
        <f>IF('Discovery-Processing-QC feature'!699:699,"AAAAAH/apoY=",0)</f>
        <v>0</v>
      </c>
      <c r="EF16" t="e">
        <f>AND('Discovery-Processing-QC feature'!A699,"AAAAAH/apoc=")</f>
        <v>#VALUE!</v>
      </c>
      <c r="EG16" t="e">
        <f>AND('Discovery-Processing-QC feature'!B699,"AAAAAH/apog=")</f>
        <v>#VALUE!</v>
      </c>
      <c r="EH16">
        <f>IF('Discovery-Processing-QC feature'!700:700,"AAAAAH/apok=",0)</f>
        <v>0</v>
      </c>
      <c r="EI16" t="e">
        <f>AND('Discovery-Processing-QC feature'!A700,"AAAAAH/apoo=")</f>
        <v>#VALUE!</v>
      </c>
      <c r="EJ16" t="e">
        <f>AND('Discovery-Processing-QC feature'!B700,"AAAAAH/apos=")</f>
        <v>#VALUE!</v>
      </c>
      <c r="EK16">
        <f>IF('Discovery-Processing-QC feature'!701:701,"AAAAAH/apow=",0)</f>
        <v>0</v>
      </c>
      <c r="EL16" t="e">
        <f>AND('Discovery-Processing-QC feature'!A701,"AAAAAH/apo0=")</f>
        <v>#VALUE!</v>
      </c>
      <c r="EM16" t="e">
        <f>AND('Discovery-Processing-QC feature'!B701,"AAAAAH/apo4=")</f>
        <v>#VALUE!</v>
      </c>
      <c r="EN16">
        <f>IF('Discovery-Processing-QC feature'!702:702,"AAAAAH/apo8=",0)</f>
        <v>0</v>
      </c>
      <c r="EO16" t="e">
        <f>AND('Discovery-Processing-QC feature'!A702,"AAAAAH/appA=")</f>
        <v>#VALUE!</v>
      </c>
      <c r="EP16" t="e">
        <f>AND('Discovery-Processing-QC feature'!B702,"AAAAAH/appE=")</f>
        <v>#VALUE!</v>
      </c>
      <c r="EQ16">
        <f>IF('Discovery-Processing-QC feature'!703:703,"AAAAAH/appI=",0)</f>
        <v>0</v>
      </c>
      <c r="ER16" t="e">
        <f>AND('Discovery-Processing-QC feature'!A703,"AAAAAH/appM=")</f>
        <v>#VALUE!</v>
      </c>
      <c r="ES16" t="e">
        <f>AND('Discovery-Processing-QC feature'!B703,"AAAAAH/appQ=")</f>
        <v>#VALUE!</v>
      </c>
      <c r="ET16">
        <f>IF('Discovery-Processing-QC feature'!704:704,"AAAAAH/appU=",0)</f>
        <v>0</v>
      </c>
      <c r="EU16" t="e">
        <f>AND('Discovery-Processing-QC feature'!A704,"AAAAAH/appY=")</f>
        <v>#VALUE!</v>
      </c>
      <c r="EV16" t="e">
        <f>AND('Discovery-Processing-QC feature'!B704,"AAAAAH/appc=")</f>
        <v>#VALUE!</v>
      </c>
      <c r="EW16">
        <f>IF('Discovery-Processing-QC feature'!705:705,"AAAAAH/appg=",0)</f>
        <v>0</v>
      </c>
      <c r="EX16" t="e">
        <f>AND('Discovery-Processing-QC feature'!A705,"AAAAAH/appk=")</f>
        <v>#VALUE!</v>
      </c>
      <c r="EY16" t="e">
        <f>AND('Discovery-Processing-QC feature'!B705,"AAAAAH/appo=")</f>
        <v>#VALUE!</v>
      </c>
      <c r="EZ16">
        <f>IF('Discovery-Processing-QC feature'!706:706,"AAAAAH/apps=",0)</f>
        <v>0</v>
      </c>
      <c r="FA16" t="e">
        <f>AND('Discovery-Processing-QC feature'!A706,"AAAAAH/appw=")</f>
        <v>#VALUE!</v>
      </c>
      <c r="FB16" t="e">
        <f>AND('Discovery-Processing-QC feature'!B706,"AAAAAH/app0=")</f>
        <v>#VALUE!</v>
      </c>
      <c r="FC16">
        <f>IF('Discovery-Processing-QC feature'!707:707,"AAAAAH/app4=",0)</f>
        <v>0</v>
      </c>
      <c r="FD16" t="e">
        <f>AND('Discovery-Processing-QC feature'!A707,"AAAAAH/app8=")</f>
        <v>#VALUE!</v>
      </c>
      <c r="FE16" t="e">
        <f>AND('Discovery-Processing-QC feature'!B707,"AAAAAH/apqA=")</f>
        <v>#VALUE!</v>
      </c>
      <c r="FF16">
        <f>IF('Discovery-Processing-QC feature'!708:708,"AAAAAH/apqE=",0)</f>
        <v>0</v>
      </c>
      <c r="FG16" t="e">
        <f>AND('Discovery-Processing-QC feature'!A708,"AAAAAH/apqI=")</f>
        <v>#VALUE!</v>
      </c>
      <c r="FH16" t="e">
        <f>AND('Discovery-Processing-QC feature'!B708,"AAAAAH/apqM=")</f>
        <v>#VALUE!</v>
      </c>
      <c r="FI16">
        <f>IF('Discovery-Processing-QC feature'!709:709,"AAAAAH/apqQ=",0)</f>
        <v>0</v>
      </c>
      <c r="FJ16" t="e">
        <f>AND('Discovery-Processing-QC feature'!A709,"AAAAAH/apqU=")</f>
        <v>#VALUE!</v>
      </c>
      <c r="FK16" t="e">
        <f>AND('Discovery-Processing-QC feature'!B709,"AAAAAH/apqY=")</f>
        <v>#VALUE!</v>
      </c>
      <c r="FL16">
        <f>IF('Discovery-Processing-QC feature'!710:710,"AAAAAH/apqc=",0)</f>
        <v>0</v>
      </c>
      <c r="FM16" t="e">
        <f>AND('Discovery-Processing-QC feature'!A710,"AAAAAH/apqg=")</f>
        <v>#VALUE!</v>
      </c>
      <c r="FN16" t="e">
        <f>AND('Discovery-Processing-QC feature'!B710,"AAAAAH/apqk=")</f>
        <v>#VALUE!</v>
      </c>
      <c r="FO16">
        <f>IF('Discovery-Processing-QC feature'!711:711,"AAAAAH/apqo=",0)</f>
        <v>0</v>
      </c>
      <c r="FP16" t="e">
        <f>AND('Discovery-Processing-QC feature'!A711,"AAAAAH/apqs=")</f>
        <v>#VALUE!</v>
      </c>
      <c r="FQ16" t="e">
        <f>AND('Discovery-Processing-QC feature'!B711,"AAAAAH/apqw=")</f>
        <v>#VALUE!</v>
      </c>
      <c r="FR16">
        <f>IF('Discovery-Processing-QC feature'!712:712,"AAAAAH/apq0=",0)</f>
        <v>0</v>
      </c>
      <c r="FS16" t="e">
        <f>AND('Discovery-Processing-QC feature'!A712,"AAAAAH/apq4=")</f>
        <v>#VALUE!</v>
      </c>
      <c r="FT16" t="e">
        <f>AND('Discovery-Processing-QC feature'!B712,"AAAAAH/apq8=")</f>
        <v>#VALUE!</v>
      </c>
      <c r="FU16">
        <f>IF('Discovery-Processing-QC feature'!713:713,"AAAAAH/aprA=",0)</f>
        <v>0</v>
      </c>
      <c r="FV16" t="e">
        <f>AND('Discovery-Processing-QC feature'!A713,"AAAAAH/aprE=")</f>
        <v>#VALUE!</v>
      </c>
      <c r="FW16" t="e">
        <f>AND('Discovery-Processing-QC feature'!B713,"AAAAAH/aprI=")</f>
        <v>#VALUE!</v>
      </c>
      <c r="FX16">
        <f>IF('Discovery-Processing-QC feature'!714:714,"AAAAAH/aprM=",0)</f>
        <v>0</v>
      </c>
      <c r="FY16" t="e">
        <f>AND('Discovery-Processing-QC feature'!A714,"AAAAAH/aprQ=")</f>
        <v>#VALUE!</v>
      </c>
      <c r="FZ16" t="e">
        <f>AND('Discovery-Processing-QC feature'!B714,"AAAAAH/aprU=")</f>
        <v>#VALUE!</v>
      </c>
      <c r="GA16">
        <f>IF('Discovery-Processing-QC feature'!715:715,"AAAAAH/aprY=",0)</f>
        <v>0</v>
      </c>
      <c r="GB16" t="e">
        <f>AND('Discovery-Processing-QC feature'!A715,"AAAAAH/aprc=")</f>
        <v>#VALUE!</v>
      </c>
      <c r="GC16" t="e">
        <f>AND('Discovery-Processing-QC feature'!B715,"AAAAAH/aprg=")</f>
        <v>#VALUE!</v>
      </c>
      <c r="GD16">
        <f>IF('Discovery-Processing-QC feature'!716:716,"AAAAAH/aprk=",0)</f>
        <v>0</v>
      </c>
      <c r="GE16" t="e">
        <f>AND('Discovery-Processing-QC feature'!A716,"AAAAAH/apro=")</f>
        <v>#VALUE!</v>
      </c>
      <c r="GF16" t="e">
        <f>AND('Discovery-Processing-QC feature'!B716,"AAAAAH/aprs=")</f>
        <v>#VALUE!</v>
      </c>
      <c r="GG16">
        <f>IF('Discovery-Processing-QC feature'!717:717,"AAAAAH/aprw=",0)</f>
        <v>0</v>
      </c>
      <c r="GH16" t="e">
        <f>AND('Discovery-Processing-QC feature'!A717,"AAAAAH/apr0=")</f>
        <v>#VALUE!</v>
      </c>
      <c r="GI16" t="e">
        <f>AND('Discovery-Processing-QC feature'!B717,"AAAAAH/apr4=")</f>
        <v>#VALUE!</v>
      </c>
      <c r="GJ16">
        <f>IF('Discovery-Processing-QC feature'!718:718,"AAAAAH/apr8=",0)</f>
        <v>0</v>
      </c>
      <c r="GK16" t="e">
        <f>AND('Discovery-Processing-QC feature'!A718,"AAAAAH/apsA=")</f>
        <v>#VALUE!</v>
      </c>
      <c r="GL16" t="e">
        <f>AND('Discovery-Processing-QC feature'!B718,"AAAAAH/apsE=")</f>
        <v>#VALUE!</v>
      </c>
      <c r="GM16">
        <f>IF('Discovery-Processing-QC feature'!719:719,"AAAAAH/apsI=",0)</f>
        <v>0</v>
      </c>
      <c r="GN16" t="e">
        <f>AND('Discovery-Processing-QC feature'!A719,"AAAAAH/apsM=")</f>
        <v>#VALUE!</v>
      </c>
      <c r="GO16" t="e">
        <f>AND('Discovery-Processing-QC feature'!B719,"AAAAAH/apsQ=")</f>
        <v>#VALUE!</v>
      </c>
      <c r="GP16">
        <f>IF('Discovery-Processing-QC feature'!720:720,"AAAAAH/apsU=",0)</f>
        <v>0</v>
      </c>
      <c r="GQ16" t="e">
        <f>AND('Discovery-Processing-QC feature'!A720,"AAAAAH/apsY=")</f>
        <v>#VALUE!</v>
      </c>
      <c r="GR16" t="e">
        <f>AND('Discovery-Processing-QC feature'!B720,"AAAAAH/apsc=")</f>
        <v>#VALUE!</v>
      </c>
      <c r="GS16">
        <f>IF('Discovery-Processing-QC feature'!721:721,"AAAAAH/apsg=",0)</f>
        <v>0</v>
      </c>
      <c r="GT16" t="e">
        <f>AND('Discovery-Processing-QC feature'!A721,"AAAAAH/apsk=")</f>
        <v>#VALUE!</v>
      </c>
      <c r="GU16" t="e">
        <f>AND('Discovery-Processing-QC feature'!B721,"AAAAAH/apso=")</f>
        <v>#VALUE!</v>
      </c>
      <c r="GV16">
        <f>IF('Discovery-Processing-QC feature'!722:722,"AAAAAH/apss=",0)</f>
        <v>0</v>
      </c>
      <c r="GW16" t="e">
        <f>AND('Discovery-Processing-QC feature'!A722,"AAAAAH/apsw=")</f>
        <v>#VALUE!</v>
      </c>
      <c r="GX16" t="e">
        <f>AND('Discovery-Processing-QC feature'!B722,"AAAAAH/aps0=")</f>
        <v>#VALUE!</v>
      </c>
      <c r="GY16">
        <f>IF('Discovery-Processing-QC feature'!723:723,"AAAAAH/aps4=",0)</f>
        <v>0</v>
      </c>
      <c r="GZ16" t="e">
        <f>AND('Discovery-Processing-QC feature'!A723,"AAAAAH/aps8=")</f>
        <v>#VALUE!</v>
      </c>
      <c r="HA16" t="e">
        <f>AND('Discovery-Processing-QC feature'!B723,"AAAAAH/aptA=")</f>
        <v>#VALUE!</v>
      </c>
      <c r="HB16">
        <f>IF('Discovery-Processing-QC feature'!724:724,"AAAAAH/aptE=",0)</f>
        <v>0</v>
      </c>
      <c r="HC16" t="e">
        <f>AND('Discovery-Processing-QC feature'!A724,"AAAAAH/aptI=")</f>
        <v>#VALUE!</v>
      </c>
      <c r="HD16" t="e">
        <f>AND('Discovery-Processing-QC feature'!B724,"AAAAAH/aptM=")</f>
        <v>#VALUE!</v>
      </c>
      <c r="HE16">
        <f>IF('Discovery-Processing-QC feature'!725:725,"AAAAAH/aptQ=",0)</f>
        <v>0</v>
      </c>
      <c r="HF16" t="e">
        <f>AND('Discovery-Processing-QC feature'!A725,"AAAAAH/aptU=")</f>
        <v>#VALUE!</v>
      </c>
      <c r="HG16" t="e">
        <f>AND('Discovery-Processing-QC feature'!B725,"AAAAAH/aptY=")</f>
        <v>#VALUE!</v>
      </c>
      <c r="HH16">
        <f>IF('Discovery-Processing-QC feature'!726:726,"AAAAAH/aptc=",0)</f>
        <v>0</v>
      </c>
      <c r="HI16" t="e">
        <f>AND('Discovery-Processing-QC feature'!A726,"AAAAAH/aptg=")</f>
        <v>#VALUE!</v>
      </c>
      <c r="HJ16" t="e">
        <f>AND('Discovery-Processing-QC feature'!B726,"AAAAAH/aptk=")</f>
        <v>#VALUE!</v>
      </c>
      <c r="HK16">
        <f>IF('Discovery-Processing-QC feature'!727:727,"AAAAAH/apto=",0)</f>
        <v>0</v>
      </c>
      <c r="HL16" t="e">
        <f>AND('Discovery-Processing-QC feature'!A727,"AAAAAH/apts=")</f>
        <v>#VALUE!</v>
      </c>
      <c r="HM16" t="e">
        <f>AND('Discovery-Processing-QC feature'!B727,"AAAAAH/aptw=")</f>
        <v>#VALUE!</v>
      </c>
      <c r="HN16">
        <f>IF('Discovery-Processing-QC feature'!728:728,"AAAAAH/apt0=",0)</f>
        <v>0</v>
      </c>
      <c r="HO16" t="e">
        <f>AND('Discovery-Processing-QC feature'!A728,"AAAAAH/apt4=")</f>
        <v>#VALUE!</v>
      </c>
      <c r="HP16" t="e">
        <f>AND('Discovery-Processing-QC feature'!B728,"AAAAAH/apt8=")</f>
        <v>#VALUE!</v>
      </c>
      <c r="HQ16">
        <f>IF('Discovery-Processing-QC feature'!729:729,"AAAAAH/apuA=",0)</f>
        <v>0</v>
      </c>
      <c r="HR16" t="e">
        <f>AND('Discovery-Processing-QC feature'!A729,"AAAAAH/apuE=")</f>
        <v>#VALUE!</v>
      </c>
      <c r="HS16" t="e">
        <f>AND('Discovery-Processing-QC feature'!B729,"AAAAAH/apuI=")</f>
        <v>#VALUE!</v>
      </c>
      <c r="HT16">
        <f>IF('Discovery-Processing-QC feature'!730:730,"AAAAAH/apuM=",0)</f>
        <v>0</v>
      </c>
      <c r="HU16" t="e">
        <f>AND('Discovery-Processing-QC feature'!A730,"AAAAAH/apuQ=")</f>
        <v>#VALUE!</v>
      </c>
      <c r="HV16" t="e">
        <f>AND('Discovery-Processing-QC feature'!B730,"AAAAAH/apuU=")</f>
        <v>#VALUE!</v>
      </c>
      <c r="HW16">
        <f>IF('Discovery-Processing-QC feature'!731:731,"AAAAAH/apuY=",0)</f>
        <v>0</v>
      </c>
      <c r="HX16" t="e">
        <f>AND('Discovery-Processing-QC feature'!A731,"AAAAAH/apuc=")</f>
        <v>#VALUE!</v>
      </c>
      <c r="HY16" t="e">
        <f>AND('Discovery-Processing-QC feature'!B731,"AAAAAH/apug=")</f>
        <v>#VALUE!</v>
      </c>
      <c r="HZ16">
        <f>IF('Discovery-Processing-QC feature'!732:732,"AAAAAH/apuk=",0)</f>
        <v>0</v>
      </c>
      <c r="IA16" t="e">
        <f>AND('Discovery-Processing-QC feature'!A732,"AAAAAH/apuo=")</f>
        <v>#VALUE!</v>
      </c>
      <c r="IB16" t="e">
        <f>AND('Discovery-Processing-QC feature'!B732,"AAAAAH/apus=")</f>
        <v>#VALUE!</v>
      </c>
      <c r="IC16">
        <f>IF('Discovery-Processing-QC feature'!733:733,"AAAAAH/apuw=",0)</f>
        <v>0</v>
      </c>
      <c r="ID16" t="e">
        <f>AND('Discovery-Processing-QC feature'!A733,"AAAAAH/apu0=")</f>
        <v>#VALUE!</v>
      </c>
      <c r="IE16" t="e">
        <f>AND('Discovery-Processing-QC feature'!B733,"AAAAAH/apu4=")</f>
        <v>#VALUE!</v>
      </c>
      <c r="IF16">
        <f>IF('Discovery-Processing-QC feature'!734:734,"AAAAAH/apu8=",0)</f>
        <v>0</v>
      </c>
      <c r="IG16" t="e">
        <f>AND('Discovery-Processing-QC feature'!A734,"AAAAAH/apvA=")</f>
        <v>#VALUE!</v>
      </c>
      <c r="IH16" t="e">
        <f>AND('Discovery-Processing-QC feature'!B734,"AAAAAH/apvE=")</f>
        <v>#VALUE!</v>
      </c>
      <c r="II16">
        <f>IF('Discovery-Processing-QC feature'!735:735,"AAAAAH/apvI=",0)</f>
        <v>0</v>
      </c>
      <c r="IJ16" t="e">
        <f>AND('Discovery-Processing-QC feature'!A735,"AAAAAH/apvM=")</f>
        <v>#VALUE!</v>
      </c>
      <c r="IK16" t="e">
        <f>AND('Discovery-Processing-QC feature'!B735,"AAAAAH/apvQ=")</f>
        <v>#VALUE!</v>
      </c>
      <c r="IL16">
        <f>IF('Discovery-Processing-QC feature'!736:736,"AAAAAH/apvU=",0)</f>
        <v>0</v>
      </c>
      <c r="IM16" t="e">
        <f>AND('Discovery-Processing-QC feature'!A736,"AAAAAH/apvY=")</f>
        <v>#VALUE!</v>
      </c>
      <c r="IN16" t="e">
        <f>AND('Discovery-Processing-QC feature'!B736,"AAAAAH/apvc=")</f>
        <v>#VALUE!</v>
      </c>
      <c r="IO16">
        <f>IF('Discovery-Processing-QC feature'!737:737,"AAAAAH/apvg=",0)</f>
        <v>0</v>
      </c>
      <c r="IP16" t="e">
        <f>AND('Discovery-Processing-QC feature'!A737,"AAAAAH/apvk=")</f>
        <v>#VALUE!</v>
      </c>
      <c r="IQ16" t="e">
        <f>AND('Discovery-Processing-QC feature'!B737,"AAAAAH/apvo=")</f>
        <v>#VALUE!</v>
      </c>
      <c r="IR16">
        <f>IF('Discovery-Processing-QC feature'!738:738,"AAAAAH/apvs=",0)</f>
        <v>0</v>
      </c>
      <c r="IS16" t="e">
        <f>AND('Discovery-Processing-QC feature'!A738,"AAAAAH/apvw=")</f>
        <v>#VALUE!</v>
      </c>
      <c r="IT16" t="e">
        <f>AND('Discovery-Processing-QC feature'!B738,"AAAAAH/apv0=")</f>
        <v>#VALUE!</v>
      </c>
      <c r="IU16">
        <f>IF('Discovery-Processing-QC feature'!739:739,"AAAAAH/apv4=",0)</f>
        <v>0</v>
      </c>
      <c r="IV16" t="e">
        <f>AND('Discovery-Processing-QC feature'!A739,"AAAAAH/apv8=")</f>
        <v>#VALUE!</v>
      </c>
    </row>
    <row r="17" spans="1:256" x14ac:dyDescent="0.2">
      <c r="A17" t="e">
        <f>AND('Discovery-Processing-QC feature'!B739,"AAAAAHBr/wA=")</f>
        <v>#VALUE!</v>
      </c>
      <c r="B17" t="e">
        <f>IF('Discovery-Processing-QC feature'!740:740,"AAAAAHBr/wE=",0)</f>
        <v>#VALUE!</v>
      </c>
      <c r="C17" t="e">
        <f>AND('Discovery-Processing-QC feature'!A740,"AAAAAHBr/wI=")</f>
        <v>#VALUE!</v>
      </c>
      <c r="D17" t="e">
        <f>AND('Discovery-Processing-QC feature'!B740,"AAAAAHBr/wM=")</f>
        <v>#VALUE!</v>
      </c>
      <c r="E17">
        <f>IF('Discovery-Processing-QC feature'!741:741,"AAAAAHBr/wQ=",0)</f>
        <v>0</v>
      </c>
      <c r="F17" t="e">
        <f>AND('Discovery-Processing-QC feature'!A741,"AAAAAHBr/wU=")</f>
        <v>#VALUE!</v>
      </c>
      <c r="G17" t="e">
        <f>AND('Discovery-Processing-QC feature'!B741,"AAAAAHBr/wY=")</f>
        <v>#VALUE!</v>
      </c>
      <c r="H17">
        <f>IF('Discovery-Processing-QC feature'!742:742,"AAAAAHBr/wc=",0)</f>
        <v>0</v>
      </c>
      <c r="I17" t="e">
        <f>AND('Discovery-Processing-QC feature'!A742,"AAAAAHBr/wg=")</f>
        <v>#VALUE!</v>
      </c>
      <c r="J17" t="e">
        <f>AND('Discovery-Processing-QC feature'!B742,"AAAAAHBr/wk=")</f>
        <v>#VALUE!</v>
      </c>
      <c r="K17">
        <f>IF('Discovery-Processing-QC feature'!743:743,"AAAAAHBr/wo=",0)</f>
        <v>0</v>
      </c>
      <c r="L17" t="e">
        <f>AND('Discovery-Processing-QC feature'!A743,"AAAAAHBr/ws=")</f>
        <v>#VALUE!</v>
      </c>
      <c r="M17" t="e">
        <f>AND('Discovery-Processing-QC feature'!B743,"AAAAAHBr/ww=")</f>
        <v>#VALUE!</v>
      </c>
      <c r="N17">
        <f>IF('Discovery-Processing-QC feature'!744:744,"AAAAAHBr/w0=",0)</f>
        <v>0</v>
      </c>
      <c r="O17" t="e">
        <f>AND('Discovery-Processing-QC feature'!A744,"AAAAAHBr/w4=")</f>
        <v>#VALUE!</v>
      </c>
      <c r="P17" t="e">
        <f>AND('Discovery-Processing-QC feature'!B744,"AAAAAHBr/w8=")</f>
        <v>#VALUE!</v>
      </c>
      <c r="Q17">
        <f>IF('Discovery-Processing-QC feature'!745:745,"AAAAAHBr/xA=",0)</f>
        <v>0</v>
      </c>
      <c r="R17" t="e">
        <f>AND('Discovery-Processing-QC feature'!A745,"AAAAAHBr/xE=")</f>
        <v>#VALUE!</v>
      </c>
      <c r="S17" t="e">
        <f>AND('Discovery-Processing-QC feature'!B745,"AAAAAHBr/xI=")</f>
        <v>#VALUE!</v>
      </c>
      <c r="T17">
        <f>IF('Discovery-Processing-QC feature'!746:746,"AAAAAHBr/xM=",0)</f>
        <v>0</v>
      </c>
      <c r="U17" t="e">
        <f>AND('Discovery-Processing-QC feature'!A746,"AAAAAHBr/xQ=")</f>
        <v>#VALUE!</v>
      </c>
      <c r="V17" t="e">
        <f>AND('Discovery-Processing-QC feature'!B746,"AAAAAHBr/xU=")</f>
        <v>#VALUE!</v>
      </c>
      <c r="W17">
        <f>IF('Discovery-Processing-QC feature'!747:747,"AAAAAHBr/xY=",0)</f>
        <v>0</v>
      </c>
      <c r="X17" t="e">
        <f>AND('Discovery-Processing-QC feature'!A747,"AAAAAHBr/xc=")</f>
        <v>#VALUE!</v>
      </c>
      <c r="Y17" t="e">
        <f>AND('Discovery-Processing-QC feature'!B747,"AAAAAHBr/xg=")</f>
        <v>#VALUE!</v>
      </c>
      <c r="Z17">
        <f>IF('Discovery-Processing-QC feature'!748:748,"AAAAAHBr/xk=",0)</f>
        <v>0</v>
      </c>
      <c r="AA17" t="e">
        <f>AND('Discovery-Processing-QC feature'!A748,"AAAAAHBr/xo=")</f>
        <v>#VALUE!</v>
      </c>
      <c r="AB17" t="e">
        <f>AND('Discovery-Processing-QC feature'!B748,"AAAAAHBr/xs=")</f>
        <v>#VALUE!</v>
      </c>
      <c r="AC17">
        <f>IF('Discovery-Processing-QC feature'!749:749,"AAAAAHBr/xw=",0)</f>
        <v>0</v>
      </c>
      <c r="AD17" t="e">
        <f>AND('Discovery-Processing-QC feature'!A749,"AAAAAHBr/x0=")</f>
        <v>#VALUE!</v>
      </c>
      <c r="AE17" t="e">
        <f>AND('Discovery-Processing-QC feature'!B749,"AAAAAHBr/x4=")</f>
        <v>#VALUE!</v>
      </c>
      <c r="AF17">
        <f>IF('Discovery-Processing-QC feature'!750:750,"AAAAAHBr/x8=",0)</f>
        <v>0</v>
      </c>
      <c r="AG17" t="e">
        <f>AND('Discovery-Processing-QC feature'!A750,"AAAAAHBr/yA=")</f>
        <v>#VALUE!</v>
      </c>
      <c r="AH17" t="e">
        <f>AND('Discovery-Processing-QC feature'!B750,"AAAAAHBr/yE=")</f>
        <v>#VALUE!</v>
      </c>
      <c r="AI17">
        <f>IF('Discovery-Processing-QC feature'!751:751,"AAAAAHBr/yI=",0)</f>
        <v>0</v>
      </c>
      <c r="AJ17" t="e">
        <f>AND('Discovery-Processing-QC feature'!A751,"AAAAAHBr/yM=")</f>
        <v>#VALUE!</v>
      </c>
      <c r="AK17" t="e">
        <f>AND('Discovery-Processing-QC feature'!B751,"AAAAAHBr/yQ=")</f>
        <v>#VALUE!</v>
      </c>
      <c r="AL17">
        <f>IF('Discovery-Processing-QC feature'!752:752,"AAAAAHBr/yU=",0)</f>
        <v>0</v>
      </c>
      <c r="AM17" t="e">
        <f>AND('Discovery-Processing-QC feature'!A752,"AAAAAHBr/yY=")</f>
        <v>#VALUE!</v>
      </c>
      <c r="AN17" t="e">
        <f>AND('Discovery-Processing-QC feature'!B752,"AAAAAHBr/yc=")</f>
        <v>#VALUE!</v>
      </c>
      <c r="AO17">
        <f>IF('Discovery-Processing-QC feature'!753:753,"AAAAAHBr/yg=",0)</f>
        <v>0</v>
      </c>
      <c r="AP17" t="e">
        <f>AND('Discovery-Processing-QC feature'!A753,"AAAAAHBr/yk=")</f>
        <v>#VALUE!</v>
      </c>
      <c r="AQ17" t="e">
        <f>AND('Discovery-Processing-QC feature'!B753,"AAAAAHBr/yo=")</f>
        <v>#VALUE!</v>
      </c>
      <c r="AR17">
        <f>IF('Discovery-Processing-QC feature'!754:754,"AAAAAHBr/ys=",0)</f>
        <v>0</v>
      </c>
      <c r="AS17" t="e">
        <f>AND('Discovery-Processing-QC feature'!A754,"AAAAAHBr/yw=")</f>
        <v>#VALUE!</v>
      </c>
      <c r="AT17" t="e">
        <f>AND('Discovery-Processing-QC feature'!B754,"AAAAAHBr/y0=")</f>
        <v>#VALUE!</v>
      </c>
      <c r="AU17">
        <f>IF('Discovery-Processing-QC feature'!755:755,"AAAAAHBr/y4=",0)</f>
        <v>0</v>
      </c>
      <c r="AV17" t="e">
        <f>AND('Discovery-Processing-QC feature'!A755,"AAAAAHBr/y8=")</f>
        <v>#VALUE!</v>
      </c>
      <c r="AW17" t="e">
        <f>AND('Discovery-Processing-QC feature'!B755,"AAAAAHBr/zA=")</f>
        <v>#VALUE!</v>
      </c>
      <c r="AX17">
        <f>IF('Discovery-Processing-QC feature'!756:756,"AAAAAHBr/zE=",0)</f>
        <v>0</v>
      </c>
      <c r="AY17" t="e">
        <f>AND('Discovery-Processing-QC feature'!A756,"AAAAAHBr/zI=")</f>
        <v>#VALUE!</v>
      </c>
      <c r="AZ17" t="e">
        <f>AND('Discovery-Processing-QC feature'!B756,"AAAAAHBr/zM=")</f>
        <v>#VALUE!</v>
      </c>
      <c r="BA17">
        <f>IF('Discovery-Processing-QC feature'!757:757,"AAAAAHBr/zQ=",0)</f>
        <v>0</v>
      </c>
      <c r="BB17" t="e">
        <f>AND('Discovery-Processing-QC feature'!A757,"AAAAAHBr/zU=")</f>
        <v>#VALUE!</v>
      </c>
      <c r="BC17" t="e">
        <f>AND('Discovery-Processing-QC feature'!B757,"AAAAAHBr/zY=")</f>
        <v>#VALUE!</v>
      </c>
      <c r="BD17">
        <f>IF('Discovery-Processing-QC feature'!758:758,"AAAAAHBr/zc=",0)</f>
        <v>0</v>
      </c>
      <c r="BE17" t="e">
        <f>AND('Discovery-Processing-QC feature'!A758,"AAAAAHBr/zg=")</f>
        <v>#VALUE!</v>
      </c>
      <c r="BF17" t="e">
        <f>AND('Discovery-Processing-QC feature'!B758,"AAAAAHBr/zk=")</f>
        <v>#VALUE!</v>
      </c>
      <c r="BG17">
        <f>IF('Discovery-Processing-QC feature'!759:759,"AAAAAHBr/zo=",0)</f>
        <v>0</v>
      </c>
      <c r="BH17" t="e">
        <f>AND('Discovery-Processing-QC feature'!A759,"AAAAAHBr/zs=")</f>
        <v>#VALUE!</v>
      </c>
      <c r="BI17" t="e">
        <f>AND('Discovery-Processing-QC feature'!B759,"AAAAAHBr/zw=")</f>
        <v>#VALUE!</v>
      </c>
      <c r="BJ17">
        <f>IF('Discovery-Processing-QC feature'!760:760,"AAAAAHBr/z0=",0)</f>
        <v>0</v>
      </c>
      <c r="BK17" t="e">
        <f>AND('Discovery-Processing-QC feature'!A760,"AAAAAHBr/z4=")</f>
        <v>#VALUE!</v>
      </c>
      <c r="BL17" t="e">
        <f>AND('Discovery-Processing-QC feature'!B760,"AAAAAHBr/z8=")</f>
        <v>#VALUE!</v>
      </c>
      <c r="BM17">
        <f>IF('Discovery-Processing-QC feature'!761:761,"AAAAAHBr/0A=",0)</f>
        <v>0</v>
      </c>
      <c r="BN17" t="e">
        <f>AND('Discovery-Processing-QC feature'!A761,"AAAAAHBr/0E=")</f>
        <v>#VALUE!</v>
      </c>
      <c r="BO17" t="e">
        <f>AND('Discovery-Processing-QC feature'!B761,"AAAAAHBr/0I=")</f>
        <v>#VALUE!</v>
      </c>
      <c r="BP17">
        <f>IF('Discovery-Processing-QC feature'!762:762,"AAAAAHBr/0M=",0)</f>
        <v>0</v>
      </c>
      <c r="BQ17" t="e">
        <f>AND('Discovery-Processing-QC feature'!A762,"AAAAAHBr/0Q=")</f>
        <v>#VALUE!</v>
      </c>
      <c r="BR17" t="e">
        <f>AND('Discovery-Processing-QC feature'!B762,"AAAAAHBr/0U=")</f>
        <v>#VALUE!</v>
      </c>
      <c r="BS17">
        <f>IF('Discovery-Processing-QC feature'!763:763,"AAAAAHBr/0Y=",0)</f>
        <v>0</v>
      </c>
      <c r="BT17" t="e">
        <f>AND('Discovery-Processing-QC feature'!A763,"AAAAAHBr/0c=")</f>
        <v>#VALUE!</v>
      </c>
      <c r="BU17" t="e">
        <f>AND('Discovery-Processing-QC feature'!B763,"AAAAAHBr/0g=")</f>
        <v>#VALUE!</v>
      </c>
      <c r="BV17">
        <f>IF('Discovery-Processing-QC feature'!764:764,"AAAAAHBr/0k=",0)</f>
        <v>0</v>
      </c>
      <c r="BW17" t="e">
        <f>AND('Discovery-Processing-QC feature'!A764,"AAAAAHBr/0o=")</f>
        <v>#VALUE!</v>
      </c>
      <c r="BX17" t="e">
        <f>AND('Discovery-Processing-QC feature'!B764,"AAAAAHBr/0s=")</f>
        <v>#VALUE!</v>
      </c>
      <c r="BY17">
        <f>IF('Discovery-Processing-QC feature'!765:765,"AAAAAHBr/0w=",0)</f>
        <v>0</v>
      </c>
      <c r="BZ17" t="e">
        <f>AND('Discovery-Processing-QC feature'!A765,"AAAAAHBr/00=")</f>
        <v>#VALUE!</v>
      </c>
      <c r="CA17" t="e">
        <f>AND('Discovery-Processing-QC feature'!B765,"AAAAAHBr/04=")</f>
        <v>#VALUE!</v>
      </c>
      <c r="CB17">
        <f>IF('Discovery-Processing-QC feature'!766:766,"AAAAAHBr/08=",0)</f>
        <v>0</v>
      </c>
      <c r="CC17" t="e">
        <f>AND('Discovery-Processing-QC feature'!A766,"AAAAAHBr/1A=")</f>
        <v>#VALUE!</v>
      </c>
      <c r="CD17" t="e">
        <f>AND('Discovery-Processing-QC feature'!B766,"AAAAAHBr/1E=")</f>
        <v>#VALUE!</v>
      </c>
      <c r="CE17">
        <f>IF('Discovery-Processing-QC feature'!767:767,"AAAAAHBr/1I=",0)</f>
        <v>0</v>
      </c>
      <c r="CF17" t="e">
        <f>AND('Discovery-Processing-QC feature'!A767,"AAAAAHBr/1M=")</f>
        <v>#VALUE!</v>
      </c>
      <c r="CG17" t="e">
        <f>AND('Discovery-Processing-QC feature'!B767,"AAAAAHBr/1Q=")</f>
        <v>#VALUE!</v>
      </c>
      <c r="CH17">
        <f>IF('Discovery-Processing-QC feature'!768:768,"AAAAAHBr/1U=",0)</f>
        <v>0</v>
      </c>
      <c r="CI17" t="e">
        <f>AND('Discovery-Processing-QC feature'!A768,"AAAAAHBr/1Y=")</f>
        <v>#VALUE!</v>
      </c>
      <c r="CJ17" t="e">
        <f>AND('Discovery-Processing-QC feature'!B768,"AAAAAHBr/1c=")</f>
        <v>#VALUE!</v>
      </c>
      <c r="CK17">
        <f>IF('Discovery-Processing-QC feature'!769:769,"AAAAAHBr/1g=",0)</f>
        <v>0</v>
      </c>
      <c r="CL17" t="e">
        <f>AND('Discovery-Processing-QC feature'!A769,"AAAAAHBr/1k=")</f>
        <v>#VALUE!</v>
      </c>
      <c r="CM17" t="e">
        <f>AND('Discovery-Processing-QC feature'!B769,"AAAAAHBr/1o=")</f>
        <v>#VALUE!</v>
      </c>
      <c r="CN17">
        <f>IF('Discovery-Processing-QC feature'!770:770,"AAAAAHBr/1s=",0)</f>
        <v>0</v>
      </c>
      <c r="CO17" t="e">
        <f>AND('Discovery-Processing-QC feature'!A770,"AAAAAHBr/1w=")</f>
        <v>#VALUE!</v>
      </c>
      <c r="CP17" t="e">
        <f>AND('Discovery-Processing-QC feature'!B770,"AAAAAHBr/10=")</f>
        <v>#VALUE!</v>
      </c>
      <c r="CQ17">
        <f>IF('Discovery-Processing-QC feature'!771:771,"AAAAAHBr/14=",0)</f>
        <v>0</v>
      </c>
      <c r="CR17" t="e">
        <f>AND('Discovery-Processing-QC feature'!A771,"AAAAAHBr/18=")</f>
        <v>#VALUE!</v>
      </c>
      <c r="CS17" t="e">
        <f>AND('Discovery-Processing-QC feature'!B771,"AAAAAHBr/2A=")</f>
        <v>#VALUE!</v>
      </c>
      <c r="CT17">
        <f>IF('Discovery-Processing-QC feature'!772:772,"AAAAAHBr/2E=",0)</f>
        <v>0</v>
      </c>
      <c r="CU17" t="e">
        <f>AND('Discovery-Processing-QC feature'!A772,"AAAAAHBr/2I=")</f>
        <v>#VALUE!</v>
      </c>
      <c r="CV17" t="e">
        <f>AND('Discovery-Processing-QC feature'!B772,"AAAAAHBr/2M=")</f>
        <v>#VALUE!</v>
      </c>
      <c r="CW17">
        <f>IF('Discovery-Processing-QC feature'!773:773,"AAAAAHBr/2Q=",0)</f>
        <v>0</v>
      </c>
      <c r="CX17" t="e">
        <f>AND('Discovery-Processing-QC feature'!A773,"AAAAAHBr/2U=")</f>
        <v>#VALUE!</v>
      </c>
      <c r="CY17" t="e">
        <f>AND('Discovery-Processing-QC feature'!B773,"AAAAAHBr/2Y=")</f>
        <v>#VALUE!</v>
      </c>
      <c r="CZ17">
        <f>IF('Discovery-Processing-QC feature'!774:774,"AAAAAHBr/2c=",0)</f>
        <v>0</v>
      </c>
      <c r="DA17" t="e">
        <f>AND('Discovery-Processing-QC feature'!A774,"AAAAAHBr/2g=")</f>
        <v>#VALUE!</v>
      </c>
      <c r="DB17" t="e">
        <f>AND('Discovery-Processing-QC feature'!B774,"AAAAAHBr/2k=")</f>
        <v>#VALUE!</v>
      </c>
      <c r="DC17">
        <f>IF('Discovery-Processing-QC feature'!775:775,"AAAAAHBr/2o=",0)</f>
        <v>0</v>
      </c>
      <c r="DD17" t="e">
        <f>AND('Discovery-Processing-QC feature'!A775,"AAAAAHBr/2s=")</f>
        <v>#VALUE!</v>
      </c>
      <c r="DE17" t="e">
        <f>AND('Discovery-Processing-QC feature'!B775,"AAAAAHBr/2w=")</f>
        <v>#VALUE!</v>
      </c>
      <c r="DF17">
        <f>IF('Discovery-Processing-QC feature'!776:776,"AAAAAHBr/20=",0)</f>
        <v>0</v>
      </c>
      <c r="DG17" t="e">
        <f>AND('Discovery-Processing-QC feature'!A776,"AAAAAHBr/24=")</f>
        <v>#VALUE!</v>
      </c>
      <c r="DH17" t="e">
        <f>AND('Discovery-Processing-QC feature'!B776,"AAAAAHBr/28=")</f>
        <v>#VALUE!</v>
      </c>
      <c r="DI17">
        <f>IF('Discovery-Processing-QC feature'!777:777,"AAAAAHBr/3A=",0)</f>
        <v>0</v>
      </c>
      <c r="DJ17" t="e">
        <f>AND('Discovery-Processing-QC feature'!A777,"AAAAAHBr/3E=")</f>
        <v>#VALUE!</v>
      </c>
      <c r="DK17" t="e">
        <f>AND('Discovery-Processing-QC feature'!B777,"AAAAAHBr/3I=")</f>
        <v>#VALUE!</v>
      </c>
      <c r="DL17">
        <f>IF('Discovery-Processing-QC feature'!778:778,"AAAAAHBr/3M=",0)</f>
        <v>0</v>
      </c>
      <c r="DM17" t="e">
        <f>AND('Discovery-Processing-QC feature'!A778,"AAAAAHBr/3Q=")</f>
        <v>#VALUE!</v>
      </c>
      <c r="DN17" t="e">
        <f>AND('Discovery-Processing-QC feature'!B778,"AAAAAHBr/3U=")</f>
        <v>#VALUE!</v>
      </c>
      <c r="DO17">
        <f>IF('Discovery-Processing-QC feature'!779:779,"AAAAAHBr/3Y=",0)</f>
        <v>0</v>
      </c>
      <c r="DP17" t="e">
        <f>AND('Discovery-Processing-QC feature'!A779,"AAAAAHBr/3c=")</f>
        <v>#VALUE!</v>
      </c>
      <c r="DQ17" t="e">
        <f>AND('Discovery-Processing-QC feature'!B779,"AAAAAHBr/3g=")</f>
        <v>#VALUE!</v>
      </c>
      <c r="DR17">
        <f>IF('Discovery-Processing-QC feature'!780:780,"AAAAAHBr/3k=",0)</f>
        <v>0</v>
      </c>
      <c r="DS17" t="e">
        <f>AND('Discovery-Processing-QC feature'!A780,"AAAAAHBr/3o=")</f>
        <v>#VALUE!</v>
      </c>
      <c r="DT17" t="e">
        <f>AND('Discovery-Processing-QC feature'!B780,"AAAAAHBr/3s=")</f>
        <v>#VALUE!</v>
      </c>
      <c r="DU17">
        <f>IF('Discovery-Processing-QC feature'!781:781,"AAAAAHBr/3w=",0)</f>
        <v>0</v>
      </c>
      <c r="DV17" t="e">
        <f>AND('Discovery-Processing-QC feature'!A781,"AAAAAHBr/30=")</f>
        <v>#VALUE!</v>
      </c>
      <c r="DW17" t="e">
        <f>AND('Discovery-Processing-QC feature'!B781,"AAAAAHBr/34=")</f>
        <v>#VALUE!</v>
      </c>
      <c r="DX17">
        <f>IF('Discovery-Processing-QC feature'!782:782,"AAAAAHBr/38=",0)</f>
        <v>0</v>
      </c>
      <c r="DY17" t="e">
        <f>AND('Discovery-Processing-QC feature'!A782,"AAAAAHBr/4A=")</f>
        <v>#VALUE!</v>
      </c>
      <c r="DZ17" t="e">
        <f>AND('Discovery-Processing-QC feature'!B782,"AAAAAHBr/4E=")</f>
        <v>#VALUE!</v>
      </c>
      <c r="EA17">
        <f>IF('Discovery-Processing-QC feature'!783:783,"AAAAAHBr/4I=",0)</f>
        <v>0</v>
      </c>
      <c r="EB17" t="e">
        <f>AND('Discovery-Processing-QC feature'!A783,"AAAAAHBr/4M=")</f>
        <v>#VALUE!</v>
      </c>
      <c r="EC17" t="e">
        <f>AND('Discovery-Processing-QC feature'!B783,"AAAAAHBr/4Q=")</f>
        <v>#VALUE!</v>
      </c>
      <c r="ED17">
        <f>IF('Discovery-Processing-QC feature'!784:784,"AAAAAHBr/4U=",0)</f>
        <v>0</v>
      </c>
      <c r="EE17" t="e">
        <f>AND('Discovery-Processing-QC feature'!A784,"AAAAAHBr/4Y=")</f>
        <v>#VALUE!</v>
      </c>
      <c r="EF17" t="e">
        <f>AND('Discovery-Processing-QC feature'!B784,"AAAAAHBr/4c=")</f>
        <v>#VALUE!</v>
      </c>
      <c r="EG17">
        <f>IF('Discovery-Processing-QC feature'!785:785,"AAAAAHBr/4g=",0)</f>
        <v>0</v>
      </c>
      <c r="EH17" t="e">
        <f>AND('Discovery-Processing-QC feature'!A785,"AAAAAHBr/4k=")</f>
        <v>#VALUE!</v>
      </c>
      <c r="EI17" t="e">
        <f>AND('Discovery-Processing-QC feature'!B785,"AAAAAHBr/4o=")</f>
        <v>#VALUE!</v>
      </c>
      <c r="EJ17">
        <f>IF('Discovery-Processing-QC feature'!786:786,"AAAAAHBr/4s=",0)</f>
        <v>0</v>
      </c>
      <c r="EK17" t="e">
        <f>AND('Discovery-Processing-QC feature'!A786,"AAAAAHBr/4w=")</f>
        <v>#VALUE!</v>
      </c>
      <c r="EL17" t="e">
        <f>AND('Discovery-Processing-QC feature'!B786,"AAAAAHBr/40=")</f>
        <v>#VALUE!</v>
      </c>
      <c r="EM17">
        <f>IF('Discovery-Processing-QC feature'!787:787,"AAAAAHBr/44=",0)</f>
        <v>0</v>
      </c>
      <c r="EN17" t="e">
        <f>AND('Discovery-Processing-QC feature'!A787,"AAAAAHBr/48=")</f>
        <v>#VALUE!</v>
      </c>
      <c r="EO17" t="e">
        <f>AND('Discovery-Processing-QC feature'!B787,"AAAAAHBr/5A=")</f>
        <v>#VALUE!</v>
      </c>
      <c r="EP17" t="e">
        <f>IF('Discovery-Processing-QC feature'!A:A,"AAAAAHBr/5E=",0)</f>
        <v>#VALUE!</v>
      </c>
      <c r="EQ17" t="e">
        <f>IF('Discovery-Processing-QC feature'!B:B,"AAAAAHBr/5I=",0)</f>
        <v>#VALUE!</v>
      </c>
      <c r="ER17" t="e">
        <f>IF('Discovery-Processing-QC feature'!C:C,"AAAAAHBr/5M=",0)</f>
        <v>#VALUE!</v>
      </c>
      <c r="ES17" t="e">
        <f>IF('Discovery-Processing-QC feature'!D:D,"AAAAAHBr/5Q=",0)</f>
        <v>#VALUE!</v>
      </c>
      <c r="ET17">
        <f>IF('Discovery-Processing-QC feature'!E:E,"AAAAAHBr/5U=",0)</f>
        <v>0</v>
      </c>
      <c r="EU17">
        <f>IF('Discovery-Processing-QC feature'!F:F,"AAAAAHBr/5Y=",0)</f>
        <v>0</v>
      </c>
      <c r="EV17">
        <f>IF('Data Extract File Ty'!1:1,"AAAAAHBr/5c=",0)</f>
        <v>0</v>
      </c>
      <c r="EW17" t="e">
        <f>AND('Data Extract File Ty'!A1,"AAAAAHBr/5g=")</f>
        <v>#VALUE!</v>
      </c>
      <c r="EX17" t="e">
        <f>AND('Data Extract File Ty'!B1,"AAAAAHBr/5k=")</f>
        <v>#VALUE!</v>
      </c>
      <c r="EY17" t="e">
        <f>AND('Data Extract File Ty'!C1,"AAAAAHBr/5o=")</f>
        <v>#VALUE!</v>
      </c>
      <c r="EZ17" t="e">
        <f>AND('Data Extract File Ty'!D1,"AAAAAHBr/5s=")</f>
        <v>#VALUE!</v>
      </c>
      <c r="FA17" t="e">
        <f>AND('Data Extract File Ty'!E1,"AAAAAHBr/5w=")</f>
        <v>#VALUE!</v>
      </c>
      <c r="FB17" t="e">
        <f>AND('Data Extract File Ty'!F1,"AAAAAHBr/50=")</f>
        <v>#VALUE!</v>
      </c>
      <c r="FC17">
        <f>IF('Data Extract File Ty'!2:2,"AAAAAHBr/54=",0)</f>
        <v>0</v>
      </c>
      <c r="FD17" t="e">
        <f>AND('Data Extract File Ty'!A2,"AAAAAHBr/58=")</f>
        <v>#VALUE!</v>
      </c>
      <c r="FE17" t="e">
        <f>AND('Data Extract File Ty'!B2,"AAAAAHBr/6A=")</f>
        <v>#VALUE!</v>
      </c>
      <c r="FF17" t="e">
        <f>AND('Data Extract File Ty'!C2,"AAAAAHBr/6E=")</f>
        <v>#VALUE!</v>
      </c>
      <c r="FG17" t="e">
        <f>AND('Data Extract File Ty'!D2,"AAAAAHBr/6I=")</f>
        <v>#VALUE!</v>
      </c>
      <c r="FH17" t="e">
        <f>AND('Data Extract File Ty'!E2,"AAAAAHBr/6M=")</f>
        <v>#VALUE!</v>
      </c>
      <c r="FI17" t="e">
        <f>AND('Data Extract File Ty'!F2,"AAAAAHBr/6Q=")</f>
        <v>#VALUE!</v>
      </c>
      <c r="FJ17">
        <f>IF('Data Extract File Ty'!3:3,"AAAAAHBr/6U=",0)</f>
        <v>0</v>
      </c>
      <c r="FK17" t="e">
        <f>AND('Data Extract File Ty'!A3,"AAAAAHBr/6Y=")</f>
        <v>#VALUE!</v>
      </c>
      <c r="FL17" t="e">
        <f>AND('Data Extract File Ty'!B3,"AAAAAHBr/6c=")</f>
        <v>#VALUE!</v>
      </c>
      <c r="FM17" t="e">
        <f>AND('Data Extract File Ty'!C3,"AAAAAHBr/6g=")</f>
        <v>#VALUE!</v>
      </c>
      <c r="FN17" t="e">
        <f>AND('Data Extract File Ty'!D3,"AAAAAHBr/6k=")</f>
        <v>#VALUE!</v>
      </c>
      <c r="FO17">
        <f>IF('Data Extract File Ty'!4:4,"AAAAAHBr/6o=",0)</f>
        <v>0</v>
      </c>
      <c r="FP17" t="e">
        <f>AND('Data Extract File Ty'!A4,"AAAAAHBr/6s=")</f>
        <v>#VALUE!</v>
      </c>
      <c r="FQ17" t="e">
        <f>AND('Data Extract File Ty'!B4,"AAAAAHBr/6w=")</f>
        <v>#VALUE!</v>
      </c>
      <c r="FR17" t="e">
        <f>AND('Data Extract File Ty'!C4,"AAAAAHBr/60=")</f>
        <v>#VALUE!</v>
      </c>
      <c r="FS17" t="e">
        <f>AND('Data Extract File Ty'!D4,"AAAAAHBr/64=")</f>
        <v>#VALUE!</v>
      </c>
      <c r="FT17">
        <f>IF('Data Extract File Ty'!5:5,"AAAAAHBr/68=",0)</f>
        <v>0</v>
      </c>
      <c r="FU17" t="e">
        <f>AND('Data Extract File Ty'!A5,"AAAAAHBr/7A=")</f>
        <v>#VALUE!</v>
      </c>
      <c r="FV17" t="e">
        <f>AND('Data Extract File Ty'!B5,"AAAAAHBr/7E=")</f>
        <v>#VALUE!</v>
      </c>
      <c r="FW17" t="e">
        <f>AND('Data Extract File Ty'!C5,"AAAAAHBr/7I=")</f>
        <v>#VALUE!</v>
      </c>
      <c r="FX17" t="e">
        <f>AND('Data Extract File Ty'!D5,"AAAAAHBr/7M=")</f>
        <v>#VALUE!</v>
      </c>
      <c r="FY17">
        <f>IF('Data Extract File Ty'!6:6,"AAAAAHBr/7Q=",0)</f>
        <v>0</v>
      </c>
      <c r="FZ17" t="e">
        <f>AND('Data Extract File Ty'!A6,"AAAAAHBr/7U=")</f>
        <v>#VALUE!</v>
      </c>
      <c r="GA17" t="e">
        <f>AND('Data Extract File Ty'!B6,"AAAAAHBr/7Y=")</f>
        <v>#VALUE!</v>
      </c>
      <c r="GB17" t="e">
        <f>AND('Data Extract File Ty'!C6,"AAAAAHBr/7c=")</f>
        <v>#VALUE!</v>
      </c>
      <c r="GC17" t="e">
        <f>AND('Data Extract File Ty'!D6,"AAAAAHBr/7g=")</f>
        <v>#VALUE!</v>
      </c>
      <c r="GD17">
        <f>IF('Data Extract File Ty'!7:7,"AAAAAHBr/7k=",0)</f>
        <v>0</v>
      </c>
      <c r="GE17" t="e">
        <f>AND('Data Extract File Ty'!A7,"AAAAAHBr/7o=")</f>
        <v>#VALUE!</v>
      </c>
      <c r="GF17" t="e">
        <f>AND('Data Extract File Ty'!B7,"AAAAAHBr/7s=")</f>
        <v>#VALUE!</v>
      </c>
      <c r="GG17" t="e">
        <f>AND('Data Extract File Ty'!C7,"AAAAAHBr/7w=")</f>
        <v>#VALUE!</v>
      </c>
      <c r="GH17" t="e">
        <f>AND('Data Extract File Ty'!D7,"AAAAAHBr/70=")</f>
        <v>#VALUE!</v>
      </c>
      <c r="GI17">
        <f>IF('Data Extract File Ty'!8:8,"AAAAAHBr/74=",0)</f>
        <v>0</v>
      </c>
      <c r="GJ17" t="e">
        <f>AND('Data Extract File Ty'!A8,"AAAAAHBr/78=")</f>
        <v>#VALUE!</v>
      </c>
      <c r="GK17" t="e">
        <f>AND('Data Extract File Ty'!B8,"AAAAAHBr/8A=")</f>
        <v>#VALUE!</v>
      </c>
      <c r="GL17" t="e">
        <f>AND('Data Extract File Ty'!C8,"AAAAAHBr/8E=")</f>
        <v>#VALUE!</v>
      </c>
      <c r="GM17" t="e">
        <f>AND('Data Extract File Ty'!D8,"AAAAAHBr/8I=")</f>
        <v>#VALUE!</v>
      </c>
      <c r="GN17">
        <f>IF('Data Extract File Ty'!9:9,"AAAAAHBr/8M=",0)</f>
        <v>0</v>
      </c>
      <c r="GO17" t="e">
        <f>AND('Data Extract File Ty'!A9,"AAAAAHBr/8Q=")</f>
        <v>#VALUE!</v>
      </c>
      <c r="GP17" t="e">
        <f>AND('Data Extract File Ty'!B9,"AAAAAHBr/8U=")</f>
        <v>#VALUE!</v>
      </c>
      <c r="GQ17" t="e">
        <f>AND('Data Extract File Ty'!C9,"AAAAAHBr/8Y=")</f>
        <v>#VALUE!</v>
      </c>
      <c r="GR17" t="e">
        <f>AND('Data Extract File Ty'!D9,"AAAAAHBr/8c=")</f>
        <v>#VALUE!</v>
      </c>
      <c r="GS17">
        <f>IF('Data Extract File Ty'!10:10,"AAAAAHBr/8g=",0)</f>
        <v>0</v>
      </c>
      <c r="GT17" t="e">
        <f>AND('Data Extract File Ty'!A10,"AAAAAHBr/8k=")</f>
        <v>#VALUE!</v>
      </c>
      <c r="GU17" t="e">
        <f>AND('Data Extract File Ty'!B10,"AAAAAHBr/8o=")</f>
        <v>#VALUE!</v>
      </c>
      <c r="GV17" t="e">
        <f>AND('Data Extract File Ty'!C10,"AAAAAHBr/8s=")</f>
        <v>#VALUE!</v>
      </c>
      <c r="GW17" t="e">
        <f>AND('Data Extract File Ty'!D10,"AAAAAHBr/8w=")</f>
        <v>#VALUE!</v>
      </c>
      <c r="GX17">
        <f>IF('Data Extract File Ty'!11:11,"AAAAAHBr/80=",0)</f>
        <v>0</v>
      </c>
      <c r="GY17" t="e">
        <f>AND('Data Extract File Ty'!A11,"AAAAAHBr/84=")</f>
        <v>#VALUE!</v>
      </c>
      <c r="GZ17" t="e">
        <f>AND('Data Extract File Ty'!B11,"AAAAAHBr/88=")</f>
        <v>#VALUE!</v>
      </c>
      <c r="HA17" t="e">
        <f>AND('Data Extract File Ty'!C11,"AAAAAHBr/9A=")</f>
        <v>#VALUE!</v>
      </c>
      <c r="HB17" t="e">
        <f>AND('Data Extract File Ty'!D11,"AAAAAHBr/9E=")</f>
        <v>#VALUE!</v>
      </c>
      <c r="HC17">
        <f>IF('Data Extract File Ty'!12:12,"AAAAAHBr/9I=",0)</f>
        <v>0</v>
      </c>
      <c r="HD17" t="e">
        <f>AND('Data Extract File Ty'!A12,"AAAAAHBr/9M=")</f>
        <v>#VALUE!</v>
      </c>
      <c r="HE17" t="e">
        <f>AND('Data Extract File Ty'!B12,"AAAAAHBr/9Q=")</f>
        <v>#VALUE!</v>
      </c>
      <c r="HF17" t="e">
        <f>AND('Data Extract File Ty'!C12,"AAAAAHBr/9U=")</f>
        <v>#VALUE!</v>
      </c>
      <c r="HG17" t="e">
        <f>AND('Data Extract File Ty'!D12,"AAAAAHBr/9Y=")</f>
        <v>#VALUE!</v>
      </c>
      <c r="HH17">
        <f>IF('Data Extract File Ty'!13:13,"AAAAAHBr/9c=",0)</f>
        <v>0</v>
      </c>
      <c r="HI17" t="e">
        <f>AND('Data Extract File Ty'!A13,"AAAAAHBr/9g=")</f>
        <v>#VALUE!</v>
      </c>
      <c r="HJ17" t="e">
        <f>AND('Data Extract File Ty'!B13,"AAAAAHBr/9k=")</f>
        <v>#VALUE!</v>
      </c>
      <c r="HK17" t="e">
        <f>AND('Data Extract File Ty'!C13,"AAAAAHBr/9o=")</f>
        <v>#VALUE!</v>
      </c>
      <c r="HL17" t="e">
        <f>AND('Data Extract File Ty'!D13,"AAAAAHBr/9s=")</f>
        <v>#VALUE!</v>
      </c>
      <c r="HM17">
        <f>IF('Data Extract File Ty'!14:14,"AAAAAHBr/9w=",0)</f>
        <v>0</v>
      </c>
      <c r="HN17" t="e">
        <f>AND('Data Extract File Ty'!A14,"AAAAAHBr/90=")</f>
        <v>#VALUE!</v>
      </c>
      <c r="HO17" t="e">
        <f>AND('Data Extract File Ty'!B14,"AAAAAHBr/94=")</f>
        <v>#VALUE!</v>
      </c>
      <c r="HP17" t="e">
        <f>AND('Data Extract File Ty'!C14,"AAAAAHBr/98=")</f>
        <v>#VALUE!</v>
      </c>
      <c r="HQ17" t="e">
        <f>AND('Data Extract File Ty'!D14,"AAAAAHBr/+A=")</f>
        <v>#VALUE!</v>
      </c>
      <c r="HR17">
        <f>IF('Data Extract File Ty'!15:15,"AAAAAHBr/+E=",0)</f>
        <v>0</v>
      </c>
      <c r="HS17" t="e">
        <f>AND('Data Extract File Ty'!A15,"AAAAAHBr/+I=")</f>
        <v>#VALUE!</v>
      </c>
      <c r="HT17" t="e">
        <f>AND('Data Extract File Ty'!B15,"AAAAAHBr/+M=")</f>
        <v>#VALUE!</v>
      </c>
      <c r="HU17" t="e">
        <f>AND('Data Extract File Ty'!C15,"AAAAAHBr/+Q=")</f>
        <v>#VALUE!</v>
      </c>
      <c r="HV17" t="e">
        <f>AND('Data Extract File Ty'!D15,"AAAAAHBr/+U=")</f>
        <v>#VALUE!</v>
      </c>
      <c r="HW17">
        <f>IF('Data Extract File Ty'!16:16,"AAAAAHBr/+Y=",0)</f>
        <v>0</v>
      </c>
      <c r="HX17" t="e">
        <f>AND('Data Extract File Ty'!A16,"AAAAAHBr/+c=")</f>
        <v>#VALUE!</v>
      </c>
      <c r="HY17" t="e">
        <f>AND('Data Extract File Ty'!B16,"AAAAAHBr/+g=")</f>
        <v>#VALUE!</v>
      </c>
      <c r="HZ17" t="e">
        <f>AND('Data Extract File Ty'!C16,"AAAAAHBr/+k=")</f>
        <v>#VALUE!</v>
      </c>
      <c r="IA17" t="e">
        <f>AND('Data Extract File Ty'!D16,"AAAAAHBr/+o=")</f>
        <v>#VALUE!</v>
      </c>
      <c r="IB17">
        <f>IF('Data Extract File Ty'!17:17,"AAAAAHBr/+s=",0)</f>
        <v>0</v>
      </c>
      <c r="IC17" t="e">
        <f>AND('Data Extract File Ty'!A17,"AAAAAHBr/+w=")</f>
        <v>#VALUE!</v>
      </c>
      <c r="ID17" t="e">
        <f>AND('Data Extract File Ty'!B17,"AAAAAHBr/+0=")</f>
        <v>#VALUE!</v>
      </c>
      <c r="IE17" t="e">
        <f>AND('Data Extract File Ty'!C17,"AAAAAHBr/+4=")</f>
        <v>#VALUE!</v>
      </c>
      <c r="IF17" t="e">
        <f>AND('Data Extract File Ty'!D17,"AAAAAHBr/+8=")</f>
        <v>#VALUE!</v>
      </c>
      <c r="IG17">
        <f>IF('Data Extract File Ty'!18:18,"AAAAAHBr//A=",0)</f>
        <v>0</v>
      </c>
      <c r="IH17" t="e">
        <f>AND('Data Extract File Ty'!A18,"AAAAAHBr//E=")</f>
        <v>#VALUE!</v>
      </c>
      <c r="II17" t="e">
        <f>AND('Data Extract File Ty'!B18,"AAAAAHBr//I=")</f>
        <v>#VALUE!</v>
      </c>
      <c r="IJ17" t="e">
        <f>AND('Data Extract File Ty'!C18,"AAAAAHBr//M=")</f>
        <v>#VALUE!</v>
      </c>
      <c r="IK17" t="e">
        <f>AND('Data Extract File Ty'!D18,"AAAAAHBr//Q=")</f>
        <v>#VALUE!</v>
      </c>
      <c r="IL17">
        <f>IF('Data Extract File Ty'!19:19,"AAAAAHBr//U=",0)</f>
        <v>0</v>
      </c>
      <c r="IM17" t="e">
        <f>AND('Data Extract File Ty'!A19,"AAAAAHBr//Y=")</f>
        <v>#VALUE!</v>
      </c>
      <c r="IN17" t="e">
        <f>AND('Data Extract File Ty'!B19,"AAAAAHBr//c=")</f>
        <v>#VALUE!</v>
      </c>
      <c r="IO17" t="e">
        <f>AND('Data Extract File Ty'!C19,"AAAAAHBr//g=")</f>
        <v>#VALUE!</v>
      </c>
      <c r="IP17" t="e">
        <f>AND('Data Extract File Ty'!D19,"AAAAAHBr//k=")</f>
        <v>#VALUE!</v>
      </c>
      <c r="IQ17">
        <f>IF('Data Extract File Ty'!20:20,"AAAAAHBr//o=",0)</f>
        <v>0</v>
      </c>
      <c r="IR17" t="e">
        <f>AND('Data Extract File Ty'!A20,"AAAAAHBr//s=")</f>
        <v>#VALUE!</v>
      </c>
      <c r="IS17" t="e">
        <f>AND('Data Extract File Ty'!B20,"AAAAAHBr//w=")</f>
        <v>#VALUE!</v>
      </c>
      <c r="IT17" t="e">
        <f>AND('Data Extract File Ty'!C20,"AAAAAHBr//0=")</f>
        <v>#VALUE!</v>
      </c>
      <c r="IU17" t="e">
        <f>AND('Data Extract File Ty'!D20,"AAAAAHBr//4=")</f>
        <v>#VALUE!</v>
      </c>
      <c r="IV17">
        <f>IF('Data Extract File Ty'!21:21,"AAAAAHBr//8=",0)</f>
        <v>0</v>
      </c>
    </row>
    <row r="18" spans="1:256" x14ac:dyDescent="0.2">
      <c r="A18" t="e">
        <f>AND('Data Extract File Ty'!A21,"AAAAAHXr+AA=")</f>
        <v>#VALUE!</v>
      </c>
      <c r="B18" t="e">
        <f>AND('Data Extract File Ty'!B21,"AAAAAHXr+AE=")</f>
        <v>#VALUE!</v>
      </c>
      <c r="C18" t="e">
        <f>AND('Data Extract File Ty'!C21,"AAAAAHXr+AI=")</f>
        <v>#VALUE!</v>
      </c>
      <c r="D18" t="e">
        <f>AND('Data Extract File Ty'!D21,"AAAAAHXr+AM=")</f>
        <v>#VALUE!</v>
      </c>
      <c r="E18">
        <f>IF('Data Extract File Ty'!22:22,"AAAAAHXr+AQ=",0)</f>
        <v>0</v>
      </c>
      <c r="F18" t="e">
        <f>AND('Data Extract File Ty'!A22,"AAAAAHXr+AU=")</f>
        <v>#VALUE!</v>
      </c>
      <c r="G18" t="e">
        <f>AND('Data Extract File Ty'!B22,"AAAAAHXr+AY=")</f>
        <v>#VALUE!</v>
      </c>
      <c r="H18" t="e">
        <f>AND('Data Extract File Ty'!C22,"AAAAAHXr+Ac=")</f>
        <v>#VALUE!</v>
      </c>
      <c r="I18" t="e">
        <f>AND('Data Extract File Ty'!D22,"AAAAAHXr+Ag=")</f>
        <v>#VALUE!</v>
      </c>
      <c r="J18">
        <f>IF('Data Extract File Ty'!23:23,"AAAAAHXr+Ak=",0)</f>
        <v>0</v>
      </c>
      <c r="K18" t="e">
        <f>AND('Data Extract File Ty'!A23,"AAAAAHXr+Ao=")</f>
        <v>#VALUE!</v>
      </c>
      <c r="L18" t="e">
        <f>AND('Data Extract File Ty'!B23,"AAAAAHXr+As=")</f>
        <v>#VALUE!</v>
      </c>
      <c r="M18" t="e">
        <f>AND('Data Extract File Ty'!C23,"AAAAAHXr+Aw=")</f>
        <v>#VALUE!</v>
      </c>
      <c r="N18" t="e">
        <f>AND('Data Extract File Ty'!D23,"AAAAAHXr+A0=")</f>
        <v>#VALUE!</v>
      </c>
      <c r="O18">
        <f>IF('Data Extract File Ty'!24:24,"AAAAAHXr+A4=",0)</f>
        <v>0</v>
      </c>
      <c r="P18" t="e">
        <f>AND('Data Extract File Ty'!A24,"AAAAAHXr+A8=")</f>
        <v>#VALUE!</v>
      </c>
      <c r="Q18" t="e">
        <f>AND('Data Extract File Ty'!B24,"AAAAAHXr+BA=")</f>
        <v>#VALUE!</v>
      </c>
      <c r="R18" t="e">
        <f>AND('Data Extract File Ty'!C24,"AAAAAHXr+BE=")</f>
        <v>#VALUE!</v>
      </c>
      <c r="S18" t="e">
        <f>AND('Data Extract File Ty'!D24,"AAAAAHXr+BI=")</f>
        <v>#VALUE!</v>
      </c>
      <c r="T18">
        <f>IF('Data Extract File Ty'!25:25,"AAAAAHXr+BM=",0)</f>
        <v>0</v>
      </c>
      <c r="U18" t="e">
        <f>AND('Data Extract File Ty'!A25,"AAAAAHXr+BQ=")</f>
        <v>#VALUE!</v>
      </c>
      <c r="V18" t="e">
        <f>AND('Data Extract File Ty'!B25,"AAAAAHXr+BU=")</f>
        <v>#VALUE!</v>
      </c>
      <c r="W18" t="e">
        <f>AND('Data Extract File Ty'!C25,"AAAAAHXr+BY=")</f>
        <v>#VALUE!</v>
      </c>
      <c r="X18" t="e">
        <f>AND('Data Extract File Ty'!D25,"AAAAAHXr+Bc=")</f>
        <v>#VALUE!</v>
      </c>
      <c r="Y18">
        <f>IF('Data Extract File Ty'!26:26,"AAAAAHXr+Bg=",0)</f>
        <v>0</v>
      </c>
      <c r="Z18" t="e">
        <f>AND('Data Extract File Ty'!A26,"AAAAAHXr+Bk=")</f>
        <v>#VALUE!</v>
      </c>
      <c r="AA18" t="e">
        <f>AND('Data Extract File Ty'!B26,"AAAAAHXr+Bo=")</f>
        <v>#VALUE!</v>
      </c>
      <c r="AB18" t="e">
        <f>AND('Data Extract File Ty'!C26,"AAAAAHXr+Bs=")</f>
        <v>#VALUE!</v>
      </c>
      <c r="AC18" t="e">
        <f>AND('Data Extract File Ty'!D26,"AAAAAHXr+Bw=")</f>
        <v>#VALUE!</v>
      </c>
      <c r="AD18">
        <f>IF('Data Extract File Ty'!27:27,"AAAAAHXr+B0=",0)</f>
        <v>0</v>
      </c>
      <c r="AE18" t="e">
        <f>AND('Data Extract File Ty'!A27,"AAAAAHXr+B4=")</f>
        <v>#VALUE!</v>
      </c>
      <c r="AF18" t="e">
        <f>AND('Data Extract File Ty'!B27,"AAAAAHXr+B8=")</f>
        <v>#VALUE!</v>
      </c>
      <c r="AG18" t="e">
        <f>AND('Data Extract File Ty'!C27,"AAAAAHXr+CA=")</f>
        <v>#VALUE!</v>
      </c>
      <c r="AH18" t="e">
        <f>AND('Data Extract File Ty'!D27,"AAAAAHXr+CE=")</f>
        <v>#VALUE!</v>
      </c>
      <c r="AI18">
        <f>IF('Data Extract File Ty'!28:28,"AAAAAHXr+CI=",0)</f>
        <v>0</v>
      </c>
      <c r="AJ18" t="e">
        <f>AND('Data Extract File Ty'!A28,"AAAAAHXr+CM=")</f>
        <v>#VALUE!</v>
      </c>
      <c r="AK18" t="e">
        <f>AND('Data Extract File Ty'!B28,"AAAAAHXr+CQ=")</f>
        <v>#VALUE!</v>
      </c>
      <c r="AL18" t="e">
        <f>AND('Data Extract File Ty'!C28,"AAAAAHXr+CU=")</f>
        <v>#VALUE!</v>
      </c>
      <c r="AM18" t="e">
        <f>AND('Data Extract File Ty'!D28,"AAAAAHXr+CY=")</f>
        <v>#VALUE!</v>
      </c>
      <c r="AN18">
        <f>IF('Data Extract File Ty'!29:29,"AAAAAHXr+Cc=",0)</f>
        <v>0</v>
      </c>
      <c r="AO18" t="e">
        <f>AND('Data Extract File Ty'!A29,"AAAAAHXr+Cg=")</f>
        <v>#VALUE!</v>
      </c>
      <c r="AP18" t="e">
        <f>AND('Data Extract File Ty'!B29,"AAAAAHXr+Ck=")</f>
        <v>#VALUE!</v>
      </c>
      <c r="AQ18" t="e">
        <f>AND('Data Extract File Ty'!C29,"AAAAAHXr+Co=")</f>
        <v>#VALUE!</v>
      </c>
      <c r="AR18" t="e">
        <f>AND('Data Extract File Ty'!D29,"AAAAAHXr+Cs=")</f>
        <v>#VALUE!</v>
      </c>
      <c r="AS18">
        <f>IF('Data Extract File Ty'!30:30,"AAAAAHXr+Cw=",0)</f>
        <v>0</v>
      </c>
      <c r="AT18" t="e">
        <f>AND('Data Extract File Ty'!A30,"AAAAAHXr+C0=")</f>
        <v>#VALUE!</v>
      </c>
      <c r="AU18" t="e">
        <f>AND('Data Extract File Ty'!B30,"AAAAAHXr+C4=")</f>
        <v>#VALUE!</v>
      </c>
      <c r="AV18" t="e">
        <f>AND('Data Extract File Ty'!C30,"AAAAAHXr+C8=")</f>
        <v>#VALUE!</v>
      </c>
      <c r="AW18" t="e">
        <f>AND('Data Extract File Ty'!D30,"AAAAAHXr+DA=")</f>
        <v>#VALUE!</v>
      </c>
      <c r="AX18">
        <f>IF('Data Extract File Ty'!31:31,"AAAAAHXr+DE=",0)</f>
        <v>0</v>
      </c>
      <c r="AY18" t="e">
        <f>AND('Data Extract File Ty'!A31,"AAAAAHXr+DI=")</f>
        <v>#VALUE!</v>
      </c>
      <c r="AZ18" t="e">
        <f>AND('Data Extract File Ty'!B31,"AAAAAHXr+DM=")</f>
        <v>#VALUE!</v>
      </c>
      <c r="BA18" t="e">
        <f>AND('Data Extract File Ty'!C31,"AAAAAHXr+DQ=")</f>
        <v>#VALUE!</v>
      </c>
      <c r="BB18" t="e">
        <f>AND('Data Extract File Ty'!D31,"AAAAAHXr+DU=")</f>
        <v>#VALUE!</v>
      </c>
      <c r="BC18">
        <f>IF('Data Extract File Ty'!32:32,"AAAAAHXr+DY=",0)</f>
        <v>0</v>
      </c>
      <c r="BD18" t="e">
        <f>AND('Data Extract File Ty'!A32,"AAAAAHXr+Dc=")</f>
        <v>#VALUE!</v>
      </c>
      <c r="BE18" t="e">
        <f>AND('Data Extract File Ty'!B32,"AAAAAHXr+Dg=")</f>
        <v>#VALUE!</v>
      </c>
      <c r="BF18" t="e">
        <f>AND('Data Extract File Ty'!C32,"AAAAAHXr+Dk=")</f>
        <v>#VALUE!</v>
      </c>
      <c r="BG18" t="e">
        <f>AND('Data Extract File Ty'!D32,"AAAAAHXr+Do=")</f>
        <v>#VALUE!</v>
      </c>
      <c r="BH18">
        <f>IF('Data Extract File Ty'!33:33,"AAAAAHXr+Ds=",0)</f>
        <v>0</v>
      </c>
      <c r="BI18" t="e">
        <f>AND('Data Extract File Ty'!A33,"AAAAAHXr+Dw=")</f>
        <v>#VALUE!</v>
      </c>
      <c r="BJ18" t="e">
        <f>AND('Data Extract File Ty'!B33,"AAAAAHXr+D0=")</f>
        <v>#VALUE!</v>
      </c>
      <c r="BK18" t="e">
        <f>AND('Data Extract File Ty'!C33,"AAAAAHXr+D4=")</f>
        <v>#VALUE!</v>
      </c>
      <c r="BL18" t="e">
        <f>AND('Data Extract File Ty'!D33,"AAAAAHXr+D8=")</f>
        <v>#VALUE!</v>
      </c>
      <c r="BM18">
        <f>IF('Data Extract File Ty'!34:34,"AAAAAHXr+EA=",0)</f>
        <v>0</v>
      </c>
      <c r="BN18" t="e">
        <f>AND('Data Extract File Ty'!A34,"AAAAAHXr+EE=")</f>
        <v>#VALUE!</v>
      </c>
      <c r="BO18" t="e">
        <f>AND('Data Extract File Ty'!B34,"AAAAAHXr+EI=")</f>
        <v>#VALUE!</v>
      </c>
      <c r="BP18" t="e">
        <f>AND('Data Extract File Ty'!C34,"AAAAAHXr+EM=")</f>
        <v>#VALUE!</v>
      </c>
      <c r="BQ18" t="e">
        <f>AND('Data Extract File Ty'!D34,"AAAAAHXr+EQ=")</f>
        <v>#VALUE!</v>
      </c>
      <c r="BR18">
        <f>IF('Data Extract File Ty'!35:35,"AAAAAHXr+EU=",0)</f>
        <v>0</v>
      </c>
      <c r="BS18" t="e">
        <f>AND('Data Extract File Ty'!A35,"AAAAAHXr+EY=")</f>
        <v>#VALUE!</v>
      </c>
      <c r="BT18" t="e">
        <f>AND('Data Extract File Ty'!B35,"AAAAAHXr+Ec=")</f>
        <v>#VALUE!</v>
      </c>
      <c r="BU18" t="e">
        <f>AND('Data Extract File Ty'!C35,"AAAAAHXr+Eg=")</f>
        <v>#VALUE!</v>
      </c>
      <c r="BV18" t="e">
        <f>AND('Data Extract File Ty'!D35,"AAAAAHXr+Ek=")</f>
        <v>#VALUE!</v>
      </c>
      <c r="BW18">
        <f>IF('Data Extract File Ty'!36:36,"AAAAAHXr+Eo=",0)</f>
        <v>0</v>
      </c>
      <c r="BX18" t="e">
        <f>AND('Data Extract File Ty'!A36,"AAAAAHXr+Es=")</f>
        <v>#VALUE!</v>
      </c>
      <c r="BY18" t="e">
        <f>AND('Data Extract File Ty'!B36,"AAAAAHXr+Ew=")</f>
        <v>#VALUE!</v>
      </c>
      <c r="BZ18" t="e">
        <f>AND('Data Extract File Ty'!C36,"AAAAAHXr+E0=")</f>
        <v>#VALUE!</v>
      </c>
      <c r="CA18" t="e">
        <f>AND('Data Extract File Ty'!D36,"AAAAAHXr+E4=")</f>
        <v>#VALUE!</v>
      </c>
      <c r="CB18">
        <f>IF('Data Extract File Ty'!37:37,"AAAAAHXr+E8=",0)</f>
        <v>0</v>
      </c>
      <c r="CC18" t="e">
        <f>AND('Data Extract File Ty'!A37,"AAAAAHXr+FA=")</f>
        <v>#VALUE!</v>
      </c>
      <c r="CD18" t="e">
        <f>AND('Data Extract File Ty'!B37,"AAAAAHXr+FE=")</f>
        <v>#VALUE!</v>
      </c>
      <c r="CE18" t="e">
        <f>AND('Data Extract File Ty'!C37,"AAAAAHXr+FI=")</f>
        <v>#VALUE!</v>
      </c>
      <c r="CF18" t="e">
        <f>AND('Data Extract File Ty'!D37,"AAAAAHXr+FM=")</f>
        <v>#VALUE!</v>
      </c>
      <c r="CG18">
        <f>IF('Data Extract File Ty'!38:38,"AAAAAHXr+FQ=",0)</f>
        <v>0</v>
      </c>
      <c r="CH18" t="e">
        <f>AND('Data Extract File Ty'!A38,"AAAAAHXr+FU=")</f>
        <v>#VALUE!</v>
      </c>
      <c r="CI18" t="e">
        <f>AND('Data Extract File Ty'!B38,"AAAAAHXr+FY=")</f>
        <v>#VALUE!</v>
      </c>
      <c r="CJ18" t="e">
        <f>AND('Data Extract File Ty'!C38,"AAAAAHXr+Fc=")</f>
        <v>#VALUE!</v>
      </c>
      <c r="CK18" t="e">
        <f>AND('Data Extract File Ty'!D38,"AAAAAHXr+Fg=")</f>
        <v>#VALUE!</v>
      </c>
      <c r="CL18">
        <f>IF('Data Extract File Ty'!39:39,"AAAAAHXr+Fk=",0)</f>
        <v>0</v>
      </c>
      <c r="CM18" t="e">
        <f>AND('Data Extract File Ty'!A39,"AAAAAHXr+Fo=")</f>
        <v>#VALUE!</v>
      </c>
      <c r="CN18" t="e">
        <f>AND('Data Extract File Ty'!B39,"AAAAAHXr+Fs=")</f>
        <v>#VALUE!</v>
      </c>
      <c r="CO18" t="e">
        <f>AND('Data Extract File Ty'!C39,"AAAAAHXr+Fw=")</f>
        <v>#VALUE!</v>
      </c>
      <c r="CP18" t="e">
        <f>AND('Data Extract File Ty'!D39,"AAAAAHXr+F0=")</f>
        <v>#VALUE!</v>
      </c>
      <c r="CQ18">
        <f>IF('Data Extract File Ty'!40:40,"AAAAAHXr+F4=",0)</f>
        <v>0</v>
      </c>
      <c r="CR18" t="e">
        <f>AND('Data Extract File Ty'!A40,"AAAAAHXr+F8=")</f>
        <v>#VALUE!</v>
      </c>
      <c r="CS18" t="e">
        <f>AND('Data Extract File Ty'!B40,"AAAAAHXr+GA=")</f>
        <v>#VALUE!</v>
      </c>
      <c r="CT18" t="e">
        <f>AND('Data Extract File Ty'!C40,"AAAAAHXr+GE=")</f>
        <v>#VALUE!</v>
      </c>
      <c r="CU18" t="e">
        <f>AND('Data Extract File Ty'!D40,"AAAAAHXr+GI=")</f>
        <v>#VALUE!</v>
      </c>
      <c r="CV18">
        <f>IF('Data Extract File Ty'!41:41,"AAAAAHXr+GM=",0)</f>
        <v>0</v>
      </c>
      <c r="CW18" t="e">
        <f>AND('Data Extract File Ty'!A41,"AAAAAHXr+GQ=")</f>
        <v>#VALUE!</v>
      </c>
      <c r="CX18" t="e">
        <f>AND('Data Extract File Ty'!B41,"AAAAAHXr+GU=")</f>
        <v>#VALUE!</v>
      </c>
      <c r="CY18" t="e">
        <f>AND('Data Extract File Ty'!C41,"AAAAAHXr+GY=")</f>
        <v>#VALUE!</v>
      </c>
      <c r="CZ18" t="e">
        <f>AND('Data Extract File Ty'!D41,"AAAAAHXr+Gc=")</f>
        <v>#VALUE!</v>
      </c>
      <c r="DA18">
        <f>IF('Data Extract File Ty'!42:42,"AAAAAHXr+Gg=",0)</f>
        <v>0</v>
      </c>
      <c r="DB18" t="e">
        <f>AND('Data Extract File Ty'!A42,"AAAAAHXr+Gk=")</f>
        <v>#VALUE!</v>
      </c>
      <c r="DC18" t="e">
        <f>AND('Data Extract File Ty'!B42,"AAAAAHXr+Go=")</f>
        <v>#VALUE!</v>
      </c>
      <c r="DD18" t="e">
        <f>AND('Data Extract File Ty'!C42,"AAAAAHXr+Gs=")</f>
        <v>#VALUE!</v>
      </c>
      <c r="DE18" t="e">
        <f>AND('Data Extract File Ty'!D42,"AAAAAHXr+Gw=")</f>
        <v>#VALUE!</v>
      </c>
      <c r="DF18">
        <f>IF('Data Extract File Ty'!43:43,"AAAAAHXr+G0=",0)</f>
        <v>0</v>
      </c>
      <c r="DG18" t="e">
        <f>AND('Data Extract File Ty'!A43,"AAAAAHXr+G4=")</f>
        <v>#VALUE!</v>
      </c>
      <c r="DH18" t="e">
        <f>AND('Data Extract File Ty'!B43,"AAAAAHXr+G8=")</f>
        <v>#VALUE!</v>
      </c>
      <c r="DI18" t="e">
        <f>AND('Data Extract File Ty'!C43,"AAAAAHXr+HA=")</f>
        <v>#VALUE!</v>
      </c>
      <c r="DJ18" t="e">
        <f>AND('Data Extract File Ty'!D43,"AAAAAHXr+HE=")</f>
        <v>#VALUE!</v>
      </c>
      <c r="DK18">
        <f>IF('Data Extract File Ty'!44:44,"AAAAAHXr+HI=",0)</f>
        <v>0</v>
      </c>
      <c r="DL18" t="e">
        <f>AND('Data Extract File Ty'!A44,"AAAAAHXr+HM=")</f>
        <v>#VALUE!</v>
      </c>
      <c r="DM18" t="e">
        <f>AND('Data Extract File Ty'!B44,"AAAAAHXr+HQ=")</f>
        <v>#VALUE!</v>
      </c>
      <c r="DN18" t="e">
        <f>AND('Data Extract File Ty'!C44,"AAAAAHXr+HU=")</f>
        <v>#VALUE!</v>
      </c>
      <c r="DO18" t="e">
        <f>AND('Data Extract File Ty'!D44,"AAAAAHXr+HY=")</f>
        <v>#VALUE!</v>
      </c>
      <c r="DP18">
        <f>IF('Data Extract File Ty'!45:45,"AAAAAHXr+Hc=",0)</f>
        <v>0</v>
      </c>
      <c r="DQ18" t="e">
        <f>AND('Data Extract File Ty'!A45,"AAAAAHXr+Hg=")</f>
        <v>#VALUE!</v>
      </c>
      <c r="DR18" t="e">
        <f>AND('Data Extract File Ty'!B45,"AAAAAHXr+Hk=")</f>
        <v>#VALUE!</v>
      </c>
      <c r="DS18" t="e">
        <f>AND('Data Extract File Ty'!C45,"AAAAAHXr+Ho=")</f>
        <v>#VALUE!</v>
      </c>
      <c r="DT18" t="e">
        <f>AND('Data Extract File Ty'!D45,"AAAAAHXr+Hs=")</f>
        <v>#VALUE!</v>
      </c>
      <c r="DU18">
        <f>IF('Data Extract File Ty'!46:46,"AAAAAHXr+Hw=",0)</f>
        <v>0</v>
      </c>
      <c r="DV18" t="e">
        <f>AND('Data Extract File Ty'!A46,"AAAAAHXr+H0=")</f>
        <v>#VALUE!</v>
      </c>
      <c r="DW18" t="e">
        <f>AND('Data Extract File Ty'!B46,"AAAAAHXr+H4=")</f>
        <v>#VALUE!</v>
      </c>
      <c r="DX18" t="e">
        <f>AND('Data Extract File Ty'!C46,"AAAAAHXr+H8=")</f>
        <v>#VALUE!</v>
      </c>
      <c r="DY18" t="e">
        <f>AND('Data Extract File Ty'!D46,"AAAAAHXr+IA=")</f>
        <v>#VALUE!</v>
      </c>
      <c r="DZ18">
        <f>IF('Data Extract File Ty'!47:47,"AAAAAHXr+IE=",0)</f>
        <v>0</v>
      </c>
      <c r="EA18" t="e">
        <f>AND('Data Extract File Ty'!A47,"AAAAAHXr+II=")</f>
        <v>#VALUE!</v>
      </c>
      <c r="EB18" t="e">
        <f>AND('Data Extract File Ty'!B47,"AAAAAHXr+IM=")</f>
        <v>#VALUE!</v>
      </c>
      <c r="EC18" t="e">
        <f>AND('Data Extract File Ty'!C47,"AAAAAHXr+IQ=")</f>
        <v>#VALUE!</v>
      </c>
      <c r="ED18" t="e">
        <f>AND('Data Extract File Ty'!D47,"AAAAAHXr+IU=")</f>
        <v>#VALUE!</v>
      </c>
      <c r="EE18">
        <f>IF('Data Extract File Ty'!48:48,"AAAAAHXr+IY=",0)</f>
        <v>0</v>
      </c>
      <c r="EF18" t="e">
        <f>AND('Data Extract File Ty'!A48,"AAAAAHXr+Ic=")</f>
        <v>#VALUE!</v>
      </c>
      <c r="EG18" t="e">
        <f>AND('Data Extract File Ty'!B48,"AAAAAHXr+Ig=")</f>
        <v>#VALUE!</v>
      </c>
      <c r="EH18" t="e">
        <f>AND('Data Extract File Ty'!C48,"AAAAAHXr+Ik=")</f>
        <v>#VALUE!</v>
      </c>
      <c r="EI18" t="e">
        <f>AND('Data Extract File Ty'!D48,"AAAAAHXr+Io=")</f>
        <v>#VALUE!</v>
      </c>
      <c r="EJ18">
        <f>IF('Data Extract File Ty'!49:49,"AAAAAHXr+Is=",0)</f>
        <v>0</v>
      </c>
      <c r="EK18" t="e">
        <f>AND('Data Extract File Ty'!A49,"AAAAAHXr+Iw=")</f>
        <v>#VALUE!</v>
      </c>
      <c r="EL18" t="e">
        <f>AND('Data Extract File Ty'!B49,"AAAAAHXr+I0=")</f>
        <v>#VALUE!</v>
      </c>
      <c r="EM18" t="e">
        <f>AND('Data Extract File Ty'!C49,"AAAAAHXr+I4=")</f>
        <v>#VALUE!</v>
      </c>
      <c r="EN18" t="e">
        <f>AND('Data Extract File Ty'!D49,"AAAAAHXr+I8=")</f>
        <v>#VALUE!</v>
      </c>
      <c r="EO18">
        <f>IF('Data Extract File Ty'!50:50,"AAAAAHXr+JA=",0)</f>
        <v>0</v>
      </c>
      <c r="EP18" t="e">
        <f>AND('Data Extract File Ty'!A50,"AAAAAHXr+JE=")</f>
        <v>#VALUE!</v>
      </c>
      <c r="EQ18" t="e">
        <f>AND('Data Extract File Ty'!B50,"AAAAAHXr+JI=")</f>
        <v>#VALUE!</v>
      </c>
      <c r="ER18" t="e">
        <f>AND('Data Extract File Ty'!C50,"AAAAAHXr+JM=")</f>
        <v>#VALUE!</v>
      </c>
      <c r="ES18" t="e">
        <f>AND('Data Extract File Ty'!D50,"AAAAAHXr+JQ=")</f>
        <v>#VALUE!</v>
      </c>
      <c r="ET18">
        <f>IF('Data Extract File Ty'!51:51,"AAAAAHXr+JU=",0)</f>
        <v>0</v>
      </c>
      <c r="EU18" t="e">
        <f>AND('Data Extract File Ty'!A51,"AAAAAHXr+JY=")</f>
        <v>#VALUE!</v>
      </c>
      <c r="EV18" t="e">
        <f>AND('Data Extract File Ty'!B51,"AAAAAHXr+Jc=")</f>
        <v>#VALUE!</v>
      </c>
      <c r="EW18" t="e">
        <f>AND('Data Extract File Ty'!C51,"AAAAAHXr+Jg=")</f>
        <v>#VALUE!</v>
      </c>
      <c r="EX18" t="e">
        <f>AND('Data Extract File Ty'!D51,"AAAAAHXr+Jk=")</f>
        <v>#VALUE!</v>
      </c>
      <c r="EY18">
        <f>IF('Data Extract File Ty'!52:52,"AAAAAHXr+Jo=",0)</f>
        <v>0</v>
      </c>
      <c r="EZ18" t="e">
        <f>AND('Data Extract File Ty'!A52,"AAAAAHXr+Js=")</f>
        <v>#VALUE!</v>
      </c>
      <c r="FA18" t="e">
        <f>AND('Data Extract File Ty'!B52,"AAAAAHXr+Jw=")</f>
        <v>#VALUE!</v>
      </c>
      <c r="FB18" t="e">
        <f>AND('Data Extract File Ty'!C52,"AAAAAHXr+J0=")</f>
        <v>#VALUE!</v>
      </c>
      <c r="FC18" t="e">
        <f>AND('Data Extract File Ty'!D52,"AAAAAHXr+J4=")</f>
        <v>#VALUE!</v>
      </c>
      <c r="FD18">
        <f>IF('Data Extract File Ty'!53:53,"AAAAAHXr+J8=",0)</f>
        <v>0</v>
      </c>
      <c r="FE18" t="e">
        <f>AND('Data Extract File Ty'!A53,"AAAAAHXr+KA=")</f>
        <v>#VALUE!</v>
      </c>
      <c r="FF18" t="e">
        <f>AND('Data Extract File Ty'!B53,"AAAAAHXr+KE=")</f>
        <v>#VALUE!</v>
      </c>
      <c r="FG18" t="e">
        <f>AND('Data Extract File Ty'!C53,"AAAAAHXr+KI=")</f>
        <v>#VALUE!</v>
      </c>
      <c r="FH18" t="e">
        <f>AND('Data Extract File Ty'!D53,"AAAAAHXr+KM=")</f>
        <v>#VALUE!</v>
      </c>
      <c r="FI18">
        <f>IF('Data Extract File Ty'!54:54,"AAAAAHXr+KQ=",0)</f>
        <v>0</v>
      </c>
      <c r="FJ18" t="e">
        <f>AND('Data Extract File Ty'!A54,"AAAAAHXr+KU=")</f>
        <v>#VALUE!</v>
      </c>
      <c r="FK18" t="e">
        <f>AND('Data Extract File Ty'!B54,"AAAAAHXr+KY=")</f>
        <v>#VALUE!</v>
      </c>
      <c r="FL18" t="e">
        <f>AND('Data Extract File Ty'!C54,"AAAAAHXr+Kc=")</f>
        <v>#VALUE!</v>
      </c>
      <c r="FM18" t="e">
        <f>AND('Data Extract File Ty'!D54,"AAAAAHXr+Kg=")</f>
        <v>#VALUE!</v>
      </c>
      <c r="FN18">
        <f>IF('Data Extract File Ty'!55:55,"AAAAAHXr+Kk=",0)</f>
        <v>0</v>
      </c>
      <c r="FO18" t="e">
        <f>AND('Data Extract File Ty'!A55,"AAAAAHXr+Ko=")</f>
        <v>#VALUE!</v>
      </c>
      <c r="FP18" t="e">
        <f>AND('Data Extract File Ty'!B55,"AAAAAHXr+Ks=")</f>
        <v>#VALUE!</v>
      </c>
      <c r="FQ18" t="e">
        <f>AND('Data Extract File Ty'!C55,"AAAAAHXr+Kw=")</f>
        <v>#VALUE!</v>
      </c>
      <c r="FR18" t="e">
        <f>AND('Data Extract File Ty'!D55,"AAAAAHXr+K0=")</f>
        <v>#VALUE!</v>
      </c>
      <c r="FS18">
        <f>IF('Data Extract File Ty'!56:56,"AAAAAHXr+K4=",0)</f>
        <v>0</v>
      </c>
      <c r="FT18" t="e">
        <f>AND('Data Extract File Ty'!A56,"AAAAAHXr+K8=")</f>
        <v>#VALUE!</v>
      </c>
      <c r="FU18" t="e">
        <f>AND('Data Extract File Ty'!B56,"AAAAAHXr+LA=")</f>
        <v>#VALUE!</v>
      </c>
      <c r="FV18" t="e">
        <f>AND('Data Extract File Ty'!C56,"AAAAAHXr+LE=")</f>
        <v>#VALUE!</v>
      </c>
      <c r="FW18" t="e">
        <f>AND('Data Extract File Ty'!D56,"AAAAAHXr+LI=")</f>
        <v>#VALUE!</v>
      </c>
      <c r="FX18">
        <f>IF('Data Extract File Ty'!57:57,"AAAAAHXr+LM=",0)</f>
        <v>0</v>
      </c>
      <c r="FY18" t="e">
        <f>AND('Data Extract File Ty'!A57,"AAAAAHXr+LQ=")</f>
        <v>#VALUE!</v>
      </c>
      <c r="FZ18" t="e">
        <f>AND('Data Extract File Ty'!B57,"AAAAAHXr+LU=")</f>
        <v>#VALUE!</v>
      </c>
      <c r="GA18" t="e">
        <f>AND('Data Extract File Ty'!C57,"AAAAAHXr+LY=")</f>
        <v>#VALUE!</v>
      </c>
      <c r="GB18" t="e">
        <f>AND('Data Extract File Ty'!D57,"AAAAAHXr+Lc=")</f>
        <v>#VALUE!</v>
      </c>
      <c r="GC18">
        <f>IF('Data Extract File Ty'!58:58,"AAAAAHXr+Lg=",0)</f>
        <v>0</v>
      </c>
      <c r="GD18" t="e">
        <f>AND('Data Extract File Ty'!A58,"AAAAAHXr+Lk=")</f>
        <v>#VALUE!</v>
      </c>
      <c r="GE18" t="e">
        <f>AND('Data Extract File Ty'!B58,"AAAAAHXr+Lo=")</f>
        <v>#VALUE!</v>
      </c>
      <c r="GF18" t="e">
        <f>AND('Data Extract File Ty'!C58,"AAAAAHXr+Ls=")</f>
        <v>#VALUE!</v>
      </c>
      <c r="GG18" t="e">
        <f>AND('Data Extract File Ty'!D58,"AAAAAHXr+Lw=")</f>
        <v>#VALUE!</v>
      </c>
      <c r="GH18">
        <f>IF('Data Extract File Ty'!59:59,"AAAAAHXr+L0=",0)</f>
        <v>0</v>
      </c>
      <c r="GI18" t="e">
        <f>AND('Data Extract File Ty'!A59,"AAAAAHXr+L4=")</f>
        <v>#VALUE!</v>
      </c>
      <c r="GJ18" t="e">
        <f>AND('Data Extract File Ty'!B59,"AAAAAHXr+L8=")</f>
        <v>#VALUE!</v>
      </c>
      <c r="GK18" t="e">
        <f>AND('Data Extract File Ty'!C59,"AAAAAHXr+MA=")</f>
        <v>#VALUE!</v>
      </c>
      <c r="GL18" t="e">
        <f>AND('Data Extract File Ty'!D59,"AAAAAHXr+ME=")</f>
        <v>#VALUE!</v>
      </c>
      <c r="GM18">
        <f>IF('Data Extract File Ty'!60:60,"AAAAAHXr+MI=",0)</f>
        <v>0</v>
      </c>
      <c r="GN18" t="e">
        <f>AND('Data Extract File Ty'!A60,"AAAAAHXr+MM=")</f>
        <v>#VALUE!</v>
      </c>
      <c r="GO18" t="e">
        <f>AND('Data Extract File Ty'!B60,"AAAAAHXr+MQ=")</f>
        <v>#VALUE!</v>
      </c>
      <c r="GP18" t="e">
        <f>AND('Data Extract File Ty'!C60,"AAAAAHXr+MU=")</f>
        <v>#VALUE!</v>
      </c>
      <c r="GQ18" t="e">
        <f>AND('Data Extract File Ty'!D60,"AAAAAHXr+MY=")</f>
        <v>#VALUE!</v>
      </c>
      <c r="GR18">
        <f>IF('Data Extract File Ty'!61:61,"AAAAAHXr+Mc=",0)</f>
        <v>0</v>
      </c>
      <c r="GS18" t="e">
        <f>AND('Data Extract File Ty'!A61,"AAAAAHXr+Mg=")</f>
        <v>#VALUE!</v>
      </c>
      <c r="GT18" t="e">
        <f>AND('Data Extract File Ty'!B61,"AAAAAHXr+Mk=")</f>
        <v>#VALUE!</v>
      </c>
      <c r="GU18" t="e">
        <f>AND('Data Extract File Ty'!C61,"AAAAAHXr+Mo=")</f>
        <v>#VALUE!</v>
      </c>
      <c r="GV18" t="e">
        <f>AND('Data Extract File Ty'!D61,"AAAAAHXr+Ms=")</f>
        <v>#VALUE!</v>
      </c>
      <c r="GW18">
        <f>IF('Data Extract File Ty'!62:62,"AAAAAHXr+Mw=",0)</f>
        <v>0</v>
      </c>
      <c r="GX18" t="e">
        <f>AND('Data Extract File Ty'!A62,"AAAAAHXr+M0=")</f>
        <v>#VALUE!</v>
      </c>
      <c r="GY18" t="e">
        <f>AND('Data Extract File Ty'!B62,"AAAAAHXr+M4=")</f>
        <v>#VALUE!</v>
      </c>
      <c r="GZ18" t="e">
        <f>AND('Data Extract File Ty'!C62,"AAAAAHXr+M8=")</f>
        <v>#VALUE!</v>
      </c>
      <c r="HA18" t="e">
        <f>AND('Data Extract File Ty'!D62,"AAAAAHXr+NA=")</f>
        <v>#VALUE!</v>
      </c>
      <c r="HB18">
        <f>IF('Data Extract File Ty'!63:63,"AAAAAHXr+NE=",0)</f>
        <v>0</v>
      </c>
      <c r="HC18" t="e">
        <f>AND('Data Extract File Ty'!A63,"AAAAAHXr+NI=")</f>
        <v>#VALUE!</v>
      </c>
      <c r="HD18" t="e">
        <f>AND('Data Extract File Ty'!B63,"AAAAAHXr+NM=")</f>
        <v>#VALUE!</v>
      </c>
      <c r="HE18" t="e">
        <f>AND('Data Extract File Ty'!C63,"AAAAAHXr+NQ=")</f>
        <v>#VALUE!</v>
      </c>
      <c r="HF18" t="e">
        <f>AND('Data Extract File Ty'!D63,"AAAAAHXr+NU=")</f>
        <v>#VALUE!</v>
      </c>
      <c r="HG18">
        <f>IF('Data Extract File Ty'!64:64,"AAAAAHXr+NY=",0)</f>
        <v>0</v>
      </c>
      <c r="HH18" t="e">
        <f>AND('Data Extract File Ty'!A64,"AAAAAHXr+Nc=")</f>
        <v>#VALUE!</v>
      </c>
      <c r="HI18" t="e">
        <f>AND('Data Extract File Ty'!B64,"AAAAAHXr+Ng=")</f>
        <v>#VALUE!</v>
      </c>
      <c r="HJ18" t="e">
        <f>AND('Data Extract File Ty'!C64,"AAAAAHXr+Nk=")</f>
        <v>#VALUE!</v>
      </c>
      <c r="HK18" t="e">
        <f>AND('Data Extract File Ty'!D64,"AAAAAHXr+No=")</f>
        <v>#VALUE!</v>
      </c>
      <c r="HL18">
        <f>IF('Data Extract File Ty'!65:65,"AAAAAHXr+Ns=",0)</f>
        <v>0</v>
      </c>
      <c r="HM18" t="e">
        <f>AND('Data Extract File Ty'!A65,"AAAAAHXr+Nw=")</f>
        <v>#VALUE!</v>
      </c>
      <c r="HN18" t="e">
        <f>AND('Data Extract File Ty'!B65,"AAAAAHXr+N0=")</f>
        <v>#VALUE!</v>
      </c>
      <c r="HO18" t="e">
        <f>AND('Data Extract File Ty'!C65,"AAAAAHXr+N4=")</f>
        <v>#VALUE!</v>
      </c>
      <c r="HP18" t="e">
        <f>AND('Data Extract File Ty'!D65,"AAAAAHXr+N8=")</f>
        <v>#VALUE!</v>
      </c>
      <c r="HQ18">
        <f>IF('Data Extract File Ty'!66:66,"AAAAAHXr+OA=",0)</f>
        <v>0</v>
      </c>
      <c r="HR18" t="e">
        <f>AND('Data Extract File Ty'!A66,"AAAAAHXr+OE=")</f>
        <v>#VALUE!</v>
      </c>
      <c r="HS18" t="e">
        <f>AND('Data Extract File Ty'!B66,"AAAAAHXr+OI=")</f>
        <v>#VALUE!</v>
      </c>
      <c r="HT18" t="e">
        <f>AND('Data Extract File Ty'!C66,"AAAAAHXr+OM=")</f>
        <v>#VALUE!</v>
      </c>
      <c r="HU18" t="e">
        <f>AND('Data Extract File Ty'!D66,"AAAAAHXr+OQ=")</f>
        <v>#VALUE!</v>
      </c>
      <c r="HV18">
        <f>IF('Data Extract File Ty'!67:67,"AAAAAHXr+OU=",0)</f>
        <v>0</v>
      </c>
      <c r="HW18" t="e">
        <f>AND('Data Extract File Ty'!A67,"AAAAAHXr+OY=")</f>
        <v>#VALUE!</v>
      </c>
      <c r="HX18" t="e">
        <f>AND('Data Extract File Ty'!B67,"AAAAAHXr+Oc=")</f>
        <v>#VALUE!</v>
      </c>
      <c r="HY18" t="e">
        <f>AND('Data Extract File Ty'!C67,"AAAAAHXr+Og=")</f>
        <v>#VALUE!</v>
      </c>
      <c r="HZ18" t="e">
        <f>AND('Data Extract File Ty'!D67,"AAAAAHXr+Ok=")</f>
        <v>#VALUE!</v>
      </c>
      <c r="IA18">
        <f>IF('Data Extract File Ty'!68:68,"AAAAAHXr+Oo=",0)</f>
        <v>0</v>
      </c>
      <c r="IB18" t="e">
        <f>AND('Data Extract File Ty'!A68,"AAAAAHXr+Os=")</f>
        <v>#VALUE!</v>
      </c>
      <c r="IC18" t="e">
        <f>AND('Data Extract File Ty'!B68,"AAAAAHXr+Ow=")</f>
        <v>#VALUE!</v>
      </c>
      <c r="ID18" t="e">
        <f>AND('Data Extract File Ty'!C68,"AAAAAHXr+O0=")</f>
        <v>#VALUE!</v>
      </c>
      <c r="IE18" t="e">
        <f>AND('Data Extract File Ty'!D68,"AAAAAHXr+O4=")</f>
        <v>#VALUE!</v>
      </c>
      <c r="IF18">
        <f>IF('Data Extract File Ty'!69:69,"AAAAAHXr+O8=",0)</f>
        <v>0</v>
      </c>
      <c r="IG18" t="e">
        <f>AND('Data Extract File Ty'!A69,"AAAAAHXr+PA=")</f>
        <v>#VALUE!</v>
      </c>
      <c r="IH18" t="e">
        <f>AND('Data Extract File Ty'!B69,"AAAAAHXr+PE=")</f>
        <v>#VALUE!</v>
      </c>
      <c r="II18" t="e">
        <f>AND('Data Extract File Ty'!C69,"AAAAAHXr+PI=")</f>
        <v>#VALUE!</v>
      </c>
      <c r="IJ18" t="e">
        <f>AND('Data Extract File Ty'!D69,"AAAAAHXr+PM=")</f>
        <v>#VALUE!</v>
      </c>
      <c r="IK18">
        <f>IF('Data Extract File Ty'!70:70,"AAAAAHXr+PQ=",0)</f>
        <v>0</v>
      </c>
      <c r="IL18" t="e">
        <f>AND('Data Extract File Ty'!A70,"AAAAAHXr+PU=")</f>
        <v>#VALUE!</v>
      </c>
      <c r="IM18" t="e">
        <f>AND('Data Extract File Ty'!B70,"AAAAAHXr+PY=")</f>
        <v>#VALUE!</v>
      </c>
      <c r="IN18" t="e">
        <f>AND('Data Extract File Ty'!C70,"AAAAAHXr+Pc=")</f>
        <v>#VALUE!</v>
      </c>
      <c r="IO18" t="e">
        <f>AND('Data Extract File Ty'!D70,"AAAAAHXr+Pg=")</f>
        <v>#VALUE!</v>
      </c>
      <c r="IP18">
        <f>IF('Data Extract File Ty'!71:71,"AAAAAHXr+Pk=",0)</f>
        <v>0</v>
      </c>
      <c r="IQ18" t="e">
        <f>AND('Data Extract File Ty'!A71,"AAAAAHXr+Po=")</f>
        <v>#VALUE!</v>
      </c>
      <c r="IR18" t="e">
        <f>AND('Data Extract File Ty'!B71,"AAAAAHXr+Ps=")</f>
        <v>#VALUE!</v>
      </c>
      <c r="IS18" t="e">
        <f>AND('Data Extract File Ty'!C71,"AAAAAHXr+Pw=")</f>
        <v>#VALUE!</v>
      </c>
      <c r="IT18" t="e">
        <f>AND('Data Extract File Ty'!D71,"AAAAAHXr+P0=")</f>
        <v>#VALUE!</v>
      </c>
      <c r="IU18">
        <f>IF('Data Extract File Ty'!72:72,"AAAAAHXr+P4=",0)</f>
        <v>0</v>
      </c>
      <c r="IV18" t="e">
        <f>AND('Data Extract File Ty'!A72,"AAAAAHXr+P8=")</f>
        <v>#VALUE!</v>
      </c>
    </row>
    <row r="19" spans="1:256" x14ac:dyDescent="0.2">
      <c r="A19" t="e">
        <f>AND('Data Extract File Ty'!B72,"AAAAAH/sdwA=")</f>
        <v>#VALUE!</v>
      </c>
      <c r="B19" t="e">
        <f>AND('Data Extract File Ty'!C72,"AAAAAH/sdwE=")</f>
        <v>#VALUE!</v>
      </c>
      <c r="C19" t="e">
        <f>AND('Data Extract File Ty'!D72,"AAAAAH/sdwI=")</f>
        <v>#VALUE!</v>
      </c>
      <c r="D19" t="e">
        <f>IF('Data Extract File Ty'!73:73,"AAAAAH/sdwM=",0)</f>
        <v>#VALUE!</v>
      </c>
      <c r="E19" t="e">
        <f>AND('Data Extract File Ty'!A73,"AAAAAH/sdwQ=")</f>
        <v>#VALUE!</v>
      </c>
      <c r="F19" t="e">
        <f>AND('Data Extract File Ty'!B73,"AAAAAH/sdwU=")</f>
        <v>#VALUE!</v>
      </c>
      <c r="G19" t="e">
        <f>AND('Data Extract File Ty'!C73,"AAAAAH/sdwY=")</f>
        <v>#VALUE!</v>
      </c>
      <c r="H19" t="e">
        <f>AND('Data Extract File Ty'!D73,"AAAAAH/sdwc=")</f>
        <v>#VALUE!</v>
      </c>
      <c r="I19">
        <f>IF('Data Extract File Ty'!74:74,"AAAAAH/sdwg=",0)</f>
        <v>0</v>
      </c>
      <c r="J19" t="e">
        <f>AND('Data Extract File Ty'!A74,"AAAAAH/sdwk=")</f>
        <v>#VALUE!</v>
      </c>
      <c r="K19" t="e">
        <f>AND('Data Extract File Ty'!B74,"AAAAAH/sdwo=")</f>
        <v>#VALUE!</v>
      </c>
      <c r="L19" t="e">
        <f>AND('Data Extract File Ty'!C74,"AAAAAH/sdws=")</f>
        <v>#VALUE!</v>
      </c>
      <c r="M19" t="e">
        <f>AND('Data Extract File Ty'!D74,"AAAAAH/sdww=")</f>
        <v>#VALUE!</v>
      </c>
      <c r="N19">
        <f>IF('Data Extract File Ty'!75:75,"AAAAAH/sdw0=",0)</f>
        <v>0</v>
      </c>
      <c r="O19" t="e">
        <f>AND('Data Extract File Ty'!A75,"AAAAAH/sdw4=")</f>
        <v>#VALUE!</v>
      </c>
      <c r="P19" t="e">
        <f>AND('Data Extract File Ty'!B75,"AAAAAH/sdw8=")</f>
        <v>#VALUE!</v>
      </c>
      <c r="Q19" t="e">
        <f>AND('Data Extract File Ty'!C75,"AAAAAH/sdxA=")</f>
        <v>#VALUE!</v>
      </c>
      <c r="R19" t="e">
        <f>AND('Data Extract File Ty'!D75,"AAAAAH/sdxE=")</f>
        <v>#VALUE!</v>
      </c>
      <c r="S19">
        <f>IF('Data Extract File Ty'!76:76,"AAAAAH/sdxI=",0)</f>
        <v>0</v>
      </c>
      <c r="T19" t="e">
        <f>AND('Data Extract File Ty'!A76,"AAAAAH/sdxM=")</f>
        <v>#VALUE!</v>
      </c>
      <c r="U19" t="e">
        <f>AND('Data Extract File Ty'!B76,"AAAAAH/sdxQ=")</f>
        <v>#VALUE!</v>
      </c>
      <c r="V19" t="e">
        <f>AND('Data Extract File Ty'!C76,"AAAAAH/sdxU=")</f>
        <v>#VALUE!</v>
      </c>
      <c r="W19" t="e">
        <f>AND('Data Extract File Ty'!D76,"AAAAAH/sdxY=")</f>
        <v>#VALUE!</v>
      </c>
      <c r="X19">
        <f>IF('Data Extract File Ty'!77:77,"AAAAAH/sdxc=",0)</f>
        <v>0</v>
      </c>
      <c r="Y19" t="e">
        <f>AND('Data Extract File Ty'!A77,"AAAAAH/sdxg=")</f>
        <v>#VALUE!</v>
      </c>
      <c r="Z19" t="e">
        <f>AND('Data Extract File Ty'!B77,"AAAAAH/sdxk=")</f>
        <v>#VALUE!</v>
      </c>
      <c r="AA19" t="e">
        <f>AND('Data Extract File Ty'!C77,"AAAAAH/sdxo=")</f>
        <v>#VALUE!</v>
      </c>
      <c r="AB19" t="e">
        <f>AND('Data Extract File Ty'!D77,"AAAAAH/sdxs=")</f>
        <v>#VALUE!</v>
      </c>
      <c r="AC19">
        <f>IF('Data Extract File Ty'!78:78,"AAAAAH/sdxw=",0)</f>
        <v>0</v>
      </c>
      <c r="AD19" t="e">
        <f>AND('Data Extract File Ty'!A78,"AAAAAH/sdx0=")</f>
        <v>#VALUE!</v>
      </c>
      <c r="AE19" t="e">
        <f>AND('Data Extract File Ty'!B78,"AAAAAH/sdx4=")</f>
        <v>#VALUE!</v>
      </c>
      <c r="AF19" t="e">
        <f>AND('Data Extract File Ty'!C78,"AAAAAH/sdx8=")</f>
        <v>#VALUE!</v>
      </c>
      <c r="AG19" t="e">
        <f>AND('Data Extract File Ty'!D78,"AAAAAH/sdyA=")</f>
        <v>#VALUE!</v>
      </c>
      <c r="AH19">
        <f>IF('Data Extract File Ty'!79:79,"AAAAAH/sdyE=",0)</f>
        <v>0</v>
      </c>
      <c r="AI19" t="e">
        <f>AND('Data Extract File Ty'!A79,"AAAAAH/sdyI=")</f>
        <v>#VALUE!</v>
      </c>
      <c r="AJ19" t="e">
        <f>AND('Data Extract File Ty'!B79,"AAAAAH/sdyM=")</f>
        <v>#VALUE!</v>
      </c>
      <c r="AK19" t="e">
        <f>AND('Data Extract File Ty'!C79,"AAAAAH/sdyQ=")</f>
        <v>#VALUE!</v>
      </c>
      <c r="AL19" t="e">
        <f>AND('Data Extract File Ty'!D79,"AAAAAH/sdyU=")</f>
        <v>#VALUE!</v>
      </c>
      <c r="AM19">
        <f>IF('Data Extract File Ty'!80:80,"AAAAAH/sdyY=",0)</f>
        <v>0</v>
      </c>
      <c r="AN19" t="e">
        <f>AND('Data Extract File Ty'!A80,"AAAAAH/sdyc=")</f>
        <v>#VALUE!</v>
      </c>
      <c r="AO19" t="e">
        <f>AND('Data Extract File Ty'!B80,"AAAAAH/sdyg=")</f>
        <v>#VALUE!</v>
      </c>
      <c r="AP19" t="e">
        <f>AND('Data Extract File Ty'!C80,"AAAAAH/sdyk=")</f>
        <v>#VALUE!</v>
      </c>
      <c r="AQ19" t="e">
        <f>AND('Data Extract File Ty'!D80,"AAAAAH/sdyo=")</f>
        <v>#VALUE!</v>
      </c>
      <c r="AR19">
        <f>IF('Data Extract File Ty'!81:81,"AAAAAH/sdys=",0)</f>
        <v>0</v>
      </c>
      <c r="AS19" t="e">
        <f>AND('Data Extract File Ty'!A81,"AAAAAH/sdyw=")</f>
        <v>#VALUE!</v>
      </c>
      <c r="AT19" t="e">
        <f>AND('Data Extract File Ty'!B81,"AAAAAH/sdy0=")</f>
        <v>#VALUE!</v>
      </c>
      <c r="AU19" t="e">
        <f>AND('Data Extract File Ty'!C81,"AAAAAH/sdy4=")</f>
        <v>#VALUE!</v>
      </c>
      <c r="AV19" t="e">
        <f>AND('Data Extract File Ty'!D81,"AAAAAH/sdy8=")</f>
        <v>#VALUE!</v>
      </c>
      <c r="AW19">
        <f>IF('Data Extract File Ty'!82:82,"AAAAAH/sdzA=",0)</f>
        <v>0</v>
      </c>
      <c r="AX19" t="e">
        <f>AND('Data Extract File Ty'!A82,"AAAAAH/sdzE=")</f>
        <v>#VALUE!</v>
      </c>
      <c r="AY19" t="e">
        <f>AND('Data Extract File Ty'!B82,"AAAAAH/sdzI=")</f>
        <v>#VALUE!</v>
      </c>
      <c r="AZ19" t="e">
        <f>AND('Data Extract File Ty'!C82,"AAAAAH/sdzM=")</f>
        <v>#VALUE!</v>
      </c>
      <c r="BA19" t="e">
        <f>AND('Data Extract File Ty'!D82,"AAAAAH/sdzQ=")</f>
        <v>#VALUE!</v>
      </c>
      <c r="BB19">
        <f>IF('Data Extract File Ty'!83:83,"AAAAAH/sdzU=",0)</f>
        <v>0</v>
      </c>
      <c r="BC19" t="e">
        <f>AND('Data Extract File Ty'!A83,"AAAAAH/sdzY=")</f>
        <v>#VALUE!</v>
      </c>
      <c r="BD19" t="e">
        <f>AND('Data Extract File Ty'!B83,"AAAAAH/sdzc=")</f>
        <v>#VALUE!</v>
      </c>
      <c r="BE19" t="e">
        <f>AND('Data Extract File Ty'!C83,"AAAAAH/sdzg=")</f>
        <v>#VALUE!</v>
      </c>
      <c r="BF19" t="e">
        <f>AND('Data Extract File Ty'!D83,"AAAAAH/sdzk=")</f>
        <v>#VALUE!</v>
      </c>
      <c r="BG19">
        <f>IF('Data Extract File Ty'!84:84,"AAAAAH/sdzo=",0)</f>
        <v>0</v>
      </c>
      <c r="BH19" t="e">
        <f>AND('Data Extract File Ty'!A84,"AAAAAH/sdzs=")</f>
        <v>#VALUE!</v>
      </c>
      <c r="BI19" t="e">
        <f>AND('Data Extract File Ty'!B84,"AAAAAH/sdzw=")</f>
        <v>#VALUE!</v>
      </c>
      <c r="BJ19" t="e">
        <f>AND('Data Extract File Ty'!C84,"AAAAAH/sdz0=")</f>
        <v>#VALUE!</v>
      </c>
      <c r="BK19" t="e">
        <f>AND('Data Extract File Ty'!D84,"AAAAAH/sdz4=")</f>
        <v>#VALUE!</v>
      </c>
      <c r="BL19">
        <f>IF('Data Extract File Ty'!85:85,"AAAAAH/sdz8=",0)</f>
        <v>0</v>
      </c>
      <c r="BM19" t="e">
        <f>AND('Data Extract File Ty'!A85,"AAAAAH/sd0A=")</f>
        <v>#VALUE!</v>
      </c>
      <c r="BN19" t="e">
        <f>AND('Data Extract File Ty'!B85,"AAAAAH/sd0E=")</f>
        <v>#VALUE!</v>
      </c>
      <c r="BO19" t="e">
        <f>AND('Data Extract File Ty'!C85,"AAAAAH/sd0I=")</f>
        <v>#VALUE!</v>
      </c>
      <c r="BP19" t="e">
        <f>AND('Data Extract File Ty'!D85,"AAAAAH/sd0M=")</f>
        <v>#VALUE!</v>
      </c>
      <c r="BQ19">
        <f>IF('Data Extract File Ty'!86:86,"AAAAAH/sd0Q=",0)</f>
        <v>0</v>
      </c>
      <c r="BR19" t="e">
        <f>AND('Data Extract File Ty'!A86,"AAAAAH/sd0U=")</f>
        <v>#VALUE!</v>
      </c>
      <c r="BS19" t="e">
        <f>AND('Data Extract File Ty'!B86,"AAAAAH/sd0Y=")</f>
        <v>#VALUE!</v>
      </c>
      <c r="BT19" t="e">
        <f>AND('Data Extract File Ty'!C86,"AAAAAH/sd0c=")</f>
        <v>#VALUE!</v>
      </c>
      <c r="BU19" t="e">
        <f>AND('Data Extract File Ty'!D86,"AAAAAH/sd0g=")</f>
        <v>#VALUE!</v>
      </c>
      <c r="BV19">
        <f>IF('Data Extract File Ty'!87:87,"AAAAAH/sd0k=",0)</f>
        <v>0</v>
      </c>
      <c r="BW19" t="e">
        <f>AND('Data Extract File Ty'!A87,"AAAAAH/sd0o=")</f>
        <v>#VALUE!</v>
      </c>
      <c r="BX19" t="e">
        <f>AND('Data Extract File Ty'!B87,"AAAAAH/sd0s=")</f>
        <v>#VALUE!</v>
      </c>
      <c r="BY19" t="e">
        <f>AND('Data Extract File Ty'!C87,"AAAAAH/sd0w=")</f>
        <v>#VALUE!</v>
      </c>
      <c r="BZ19" t="e">
        <f>AND('Data Extract File Ty'!D87,"AAAAAH/sd00=")</f>
        <v>#VALUE!</v>
      </c>
      <c r="CA19">
        <f>IF('Data Extract File Ty'!88:88,"AAAAAH/sd04=",0)</f>
        <v>0</v>
      </c>
      <c r="CB19" t="e">
        <f>AND('Data Extract File Ty'!A88,"AAAAAH/sd08=")</f>
        <v>#VALUE!</v>
      </c>
      <c r="CC19" t="e">
        <f>AND('Data Extract File Ty'!B88,"AAAAAH/sd1A=")</f>
        <v>#VALUE!</v>
      </c>
      <c r="CD19" t="e">
        <f>AND('Data Extract File Ty'!C88,"AAAAAH/sd1E=")</f>
        <v>#VALUE!</v>
      </c>
      <c r="CE19" t="e">
        <f>AND('Data Extract File Ty'!D88,"AAAAAH/sd1I=")</f>
        <v>#VALUE!</v>
      </c>
      <c r="CF19">
        <f>IF('Data Extract File Ty'!89:89,"AAAAAH/sd1M=",0)</f>
        <v>0</v>
      </c>
      <c r="CG19" t="e">
        <f>AND('Data Extract File Ty'!A89,"AAAAAH/sd1Q=")</f>
        <v>#VALUE!</v>
      </c>
      <c r="CH19" t="e">
        <f>AND('Data Extract File Ty'!B89,"AAAAAH/sd1U=")</f>
        <v>#VALUE!</v>
      </c>
      <c r="CI19" t="e">
        <f>AND('Data Extract File Ty'!C89,"AAAAAH/sd1Y=")</f>
        <v>#VALUE!</v>
      </c>
      <c r="CJ19" t="e">
        <f>AND('Data Extract File Ty'!D89,"AAAAAH/sd1c=")</f>
        <v>#VALUE!</v>
      </c>
      <c r="CK19">
        <f>IF('Data Extract File Ty'!90:90,"AAAAAH/sd1g=",0)</f>
        <v>0</v>
      </c>
      <c r="CL19" t="e">
        <f>AND('Data Extract File Ty'!A90,"AAAAAH/sd1k=")</f>
        <v>#VALUE!</v>
      </c>
      <c r="CM19" t="e">
        <f>AND('Data Extract File Ty'!B90,"AAAAAH/sd1o=")</f>
        <v>#VALUE!</v>
      </c>
      <c r="CN19" t="e">
        <f>AND('Data Extract File Ty'!C90,"AAAAAH/sd1s=")</f>
        <v>#VALUE!</v>
      </c>
      <c r="CO19" t="e">
        <f>AND('Data Extract File Ty'!D90,"AAAAAH/sd1w=")</f>
        <v>#VALUE!</v>
      </c>
      <c r="CP19">
        <f>IF('Data Extract File Ty'!91:91,"AAAAAH/sd10=",0)</f>
        <v>0</v>
      </c>
      <c r="CQ19" t="e">
        <f>AND('Data Extract File Ty'!A91,"AAAAAH/sd14=")</f>
        <v>#VALUE!</v>
      </c>
      <c r="CR19" t="e">
        <f>AND('Data Extract File Ty'!B91,"AAAAAH/sd18=")</f>
        <v>#VALUE!</v>
      </c>
      <c r="CS19" t="e">
        <f>AND('Data Extract File Ty'!C91,"AAAAAH/sd2A=")</f>
        <v>#VALUE!</v>
      </c>
      <c r="CT19" t="e">
        <f>AND('Data Extract File Ty'!D91,"AAAAAH/sd2E=")</f>
        <v>#VALUE!</v>
      </c>
      <c r="CU19">
        <f>IF('Data Extract File Ty'!92:92,"AAAAAH/sd2I=",0)</f>
        <v>0</v>
      </c>
      <c r="CV19" t="e">
        <f>AND('Data Extract File Ty'!A92,"AAAAAH/sd2M=")</f>
        <v>#VALUE!</v>
      </c>
      <c r="CW19" t="e">
        <f>AND('Data Extract File Ty'!B92,"AAAAAH/sd2Q=")</f>
        <v>#VALUE!</v>
      </c>
      <c r="CX19" t="e">
        <f>AND('Data Extract File Ty'!C92,"AAAAAH/sd2U=")</f>
        <v>#VALUE!</v>
      </c>
      <c r="CY19" t="e">
        <f>AND('Data Extract File Ty'!D92,"AAAAAH/sd2Y=")</f>
        <v>#VALUE!</v>
      </c>
      <c r="CZ19">
        <f>IF('Data Extract File Ty'!93:93,"AAAAAH/sd2c=",0)</f>
        <v>0</v>
      </c>
      <c r="DA19" t="e">
        <f>AND('Data Extract File Ty'!A93,"AAAAAH/sd2g=")</f>
        <v>#VALUE!</v>
      </c>
      <c r="DB19" t="e">
        <f>AND('Data Extract File Ty'!B93,"AAAAAH/sd2k=")</f>
        <v>#VALUE!</v>
      </c>
      <c r="DC19" t="e">
        <f>AND('Data Extract File Ty'!C93,"AAAAAH/sd2o=")</f>
        <v>#VALUE!</v>
      </c>
      <c r="DD19" t="e">
        <f>AND('Data Extract File Ty'!D93,"AAAAAH/sd2s=")</f>
        <v>#VALUE!</v>
      </c>
      <c r="DE19">
        <f>IF('Data Extract File Ty'!94:94,"AAAAAH/sd2w=",0)</f>
        <v>0</v>
      </c>
      <c r="DF19" t="e">
        <f>AND('Data Extract File Ty'!A94,"AAAAAH/sd20=")</f>
        <v>#VALUE!</v>
      </c>
      <c r="DG19" t="e">
        <f>AND('Data Extract File Ty'!B94,"AAAAAH/sd24=")</f>
        <v>#VALUE!</v>
      </c>
      <c r="DH19" t="e">
        <f>AND('Data Extract File Ty'!C94,"AAAAAH/sd28=")</f>
        <v>#VALUE!</v>
      </c>
      <c r="DI19" t="e">
        <f>AND('Data Extract File Ty'!D94,"AAAAAH/sd3A=")</f>
        <v>#VALUE!</v>
      </c>
      <c r="DJ19">
        <f>IF('Data Extract File Ty'!95:95,"AAAAAH/sd3E=",0)</f>
        <v>0</v>
      </c>
      <c r="DK19" t="e">
        <f>AND('Data Extract File Ty'!A95,"AAAAAH/sd3I=")</f>
        <v>#VALUE!</v>
      </c>
      <c r="DL19" t="e">
        <f>AND('Data Extract File Ty'!B95,"AAAAAH/sd3M=")</f>
        <v>#VALUE!</v>
      </c>
      <c r="DM19" t="e">
        <f>AND('Data Extract File Ty'!C95,"AAAAAH/sd3Q=")</f>
        <v>#VALUE!</v>
      </c>
      <c r="DN19" t="e">
        <f>AND('Data Extract File Ty'!D95,"AAAAAH/sd3U=")</f>
        <v>#VALUE!</v>
      </c>
      <c r="DO19">
        <f>IF('Data Extract File Ty'!96:96,"AAAAAH/sd3Y=",0)</f>
        <v>0</v>
      </c>
      <c r="DP19" t="e">
        <f>AND('Data Extract File Ty'!A96,"AAAAAH/sd3c=")</f>
        <v>#VALUE!</v>
      </c>
      <c r="DQ19" t="e">
        <f>AND('Data Extract File Ty'!B96,"AAAAAH/sd3g=")</f>
        <v>#VALUE!</v>
      </c>
      <c r="DR19" t="e">
        <f>AND('Data Extract File Ty'!C96,"AAAAAH/sd3k=")</f>
        <v>#VALUE!</v>
      </c>
      <c r="DS19" t="e">
        <f>AND('Data Extract File Ty'!D96,"AAAAAH/sd3o=")</f>
        <v>#VALUE!</v>
      </c>
      <c r="DT19">
        <f>IF('Data Extract File Ty'!97:97,"AAAAAH/sd3s=",0)</f>
        <v>0</v>
      </c>
      <c r="DU19" t="e">
        <f>AND('Data Extract File Ty'!A97,"AAAAAH/sd3w=")</f>
        <v>#VALUE!</v>
      </c>
      <c r="DV19" t="e">
        <f>AND('Data Extract File Ty'!B97,"AAAAAH/sd30=")</f>
        <v>#VALUE!</v>
      </c>
      <c r="DW19" t="e">
        <f>AND('Data Extract File Ty'!C97,"AAAAAH/sd34=")</f>
        <v>#VALUE!</v>
      </c>
      <c r="DX19" t="e">
        <f>AND('Data Extract File Ty'!D97,"AAAAAH/sd38=")</f>
        <v>#VALUE!</v>
      </c>
      <c r="DY19">
        <f>IF('Data Extract File Ty'!98:98,"AAAAAH/sd4A=",0)</f>
        <v>0</v>
      </c>
      <c r="DZ19" t="e">
        <f>AND('Data Extract File Ty'!A98,"AAAAAH/sd4E=")</f>
        <v>#VALUE!</v>
      </c>
      <c r="EA19" t="e">
        <f>AND('Data Extract File Ty'!B98,"AAAAAH/sd4I=")</f>
        <v>#VALUE!</v>
      </c>
      <c r="EB19" t="e">
        <f>AND('Data Extract File Ty'!C98,"AAAAAH/sd4M=")</f>
        <v>#VALUE!</v>
      </c>
      <c r="EC19" t="e">
        <f>AND('Data Extract File Ty'!D98,"AAAAAH/sd4Q=")</f>
        <v>#VALUE!</v>
      </c>
      <c r="ED19">
        <f>IF('Data Extract File Ty'!99:99,"AAAAAH/sd4U=",0)</f>
        <v>0</v>
      </c>
      <c r="EE19" t="e">
        <f>AND('Data Extract File Ty'!A99,"AAAAAH/sd4Y=")</f>
        <v>#VALUE!</v>
      </c>
      <c r="EF19" t="e">
        <f>AND('Data Extract File Ty'!B99,"AAAAAH/sd4c=")</f>
        <v>#VALUE!</v>
      </c>
      <c r="EG19" t="e">
        <f>AND('Data Extract File Ty'!C99,"AAAAAH/sd4g=")</f>
        <v>#VALUE!</v>
      </c>
      <c r="EH19" t="e">
        <f>AND('Data Extract File Ty'!D99,"AAAAAH/sd4k=")</f>
        <v>#VALUE!</v>
      </c>
      <c r="EI19">
        <f>IF('Data Extract File Ty'!100:100,"AAAAAH/sd4o=",0)</f>
        <v>0</v>
      </c>
      <c r="EJ19" t="e">
        <f>AND('Data Extract File Ty'!A100,"AAAAAH/sd4s=")</f>
        <v>#VALUE!</v>
      </c>
      <c r="EK19" t="e">
        <f>AND('Data Extract File Ty'!B100,"AAAAAH/sd4w=")</f>
        <v>#VALUE!</v>
      </c>
      <c r="EL19" t="e">
        <f>AND('Data Extract File Ty'!C100,"AAAAAH/sd40=")</f>
        <v>#VALUE!</v>
      </c>
      <c r="EM19" t="e">
        <f>AND('Data Extract File Ty'!D100,"AAAAAH/sd44=")</f>
        <v>#VALUE!</v>
      </c>
      <c r="EN19">
        <f>IF('Data Extract File Ty'!101:101,"AAAAAH/sd48=",0)</f>
        <v>0</v>
      </c>
      <c r="EO19" t="e">
        <f>AND('Data Extract File Ty'!A101,"AAAAAH/sd5A=")</f>
        <v>#VALUE!</v>
      </c>
      <c r="EP19" t="e">
        <f>AND('Data Extract File Ty'!B101,"AAAAAH/sd5E=")</f>
        <v>#VALUE!</v>
      </c>
      <c r="EQ19" t="e">
        <f>AND('Data Extract File Ty'!C101,"AAAAAH/sd5I=")</f>
        <v>#VALUE!</v>
      </c>
      <c r="ER19" t="e">
        <f>AND('Data Extract File Ty'!D101,"AAAAAH/sd5M=")</f>
        <v>#VALUE!</v>
      </c>
      <c r="ES19">
        <f>IF('Data Extract File Ty'!102:102,"AAAAAH/sd5Q=",0)</f>
        <v>0</v>
      </c>
      <c r="ET19" t="e">
        <f>AND('Data Extract File Ty'!A102,"AAAAAH/sd5U=")</f>
        <v>#VALUE!</v>
      </c>
      <c r="EU19" t="e">
        <f>AND('Data Extract File Ty'!B102,"AAAAAH/sd5Y=")</f>
        <v>#VALUE!</v>
      </c>
      <c r="EV19" t="e">
        <f>AND('Data Extract File Ty'!C102,"AAAAAH/sd5c=")</f>
        <v>#VALUE!</v>
      </c>
      <c r="EW19" t="e">
        <f>AND('Data Extract File Ty'!D102,"AAAAAH/sd5g=")</f>
        <v>#VALUE!</v>
      </c>
      <c r="EX19">
        <f>IF('Data Extract File Ty'!103:103,"AAAAAH/sd5k=",0)</f>
        <v>0</v>
      </c>
      <c r="EY19" t="e">
        <f>AND('Data Extract File Ty'!A103,"AAAAAH/sd5o=")</f>
        <v>#VALUE!</v>
      </c>
      <c r="EZ19" t="e">
        <f>AND('Data Extract File Ty'!B103,"AAAAAH/sd5s=")</f>
        <v>#VALUE!</v>
      </c>
      <c r="FA19" t="e">
        <f>AND('Data Extract File Ty'!C103,"AAAAAH/sd5w=")</f>
        <v>#VALUE!</v>
      </c>
      <c r="FB19" t="e">
        <f>AND('Data Extract File Ty'!D103,"AAAAAH/sd50=")</f>
        <v>#VALUE!</v>
      </c>
      <c r="FC19">
        <f>IF('Data Extract File Ty'!104:104,"AAAAAH/sd54=",0)</f>
        <v>0</v>
      </c>
      <c r="FD19" t="e">
        <f>AND('Data Extract File Ty'!A104,"AAAAAH/sd58=")</f>
        <v>#VALUE!</v>
      </c>
      <c r="FE19" t="e">
        <f>AND('Data Extract File Ty'!B104,"AAAAAH/sd6A=")</f>
        <v>#VALUE!</v>
      </c>
      <c r="FF19" t="e">
        <f>AND('Data Extract File Ty'!C104,"AAAAAH/sd6E=")</f>
        <v>#VALUE!</v>
      </c>
      <c r="FG19" t="e">
        <f>AND('Data Extract File Ty'!D104,"AAAAAH/sd6I=")</f>
        <v>#VALUE!</v>
      </c>
      <c r="FH19">
        <f>IF('Data Extract File Ty'!105:105,"AAAAAH/sd6M=",0)</f>
        <v>0</v>
      </c>
      <c r="FI19" t="e">
        <f>AND('Data Extract File Ty'!A105,"AAAAAH/sd6Q=")</f>
        <v>#VALUE!</v>
      </c>
      <c r="FJ19" t="e">
        <f>AND('Data Extract File Ty'!B105,"AAAAAH/sd6U=")</f>
        <v>#VALUE!</v>
      </c>
      <c r="FK19" t="e">
        <f>AND('Data Extract File Ty'!C105,"AAAAAH/sd6Y=")</f>
        <v>#VALUE!</v>
      </c>
      <c r="FL19" t="e">
        <f>AND('Data Extract File Ty'!D105,"AAAAAH/sd6c=")</f>
        <v>#VALUE!</v>
      </c>
      <c r="FM19">
        <f>IF('Data Extract File Ty'!106:106,"AAAAAH/sd6g=",0)</f>
        <v>0</v>
      </c>
      <c r="FN19" t="e">
        <f>AND('Data Extract File Ty'!A106,"AAAAAH/sd6k=")</f>
        <v>#VALUE!</v>
      </c>
      <c r="FO19" t="e">
        <f>AND('Data Extract File Ty'!B106,"AAAAAH/sd6o=")</f>
        <v>#VALUE!</v>
      </c>
      <c r="FP19" t="e">
        <f>AND('Data Extract File Ty'!C106,"AAAAAH/sd6s=")</f>
        <v>#VALUE!</v>
      </c>
      <c r="FQ19" t="e">
        <f>AND('Data Extract File Ty'!D106,"AAAAAH/sd6w=")</f>
        <v>#VALUE!</v>
      </c>
      <c r="FR19">
        <f>IF('Data Extract File Ty'!107:107,"AAAAAH/sd60=",0)</f>
        <v>0</v>
      </c>
      <c r="FS19" t="e">
        <f>AND('Data Extract File Ty'!A107,"AAAAAH/sd64=")</f>
        <v>#VALUE!</v>
      </c>
      <c r="FT19" t="e">
        <f>AND('Data Extract File Ty'!B107,"AAAAAH/sd68=")</f>
        <v>#VALUE!</v>
      </c>
      <c r="FU19" t="e">
        <f>AND('Data Extract File Ty'!C107,"AAAAAH/sd7A=")</f>
        <v>#VALUE!</v>
      </c>
      <c r="FV19" t="e">
        <f>AND('Data Extract File Ty'!D107,"AAAAAH/sd7E=")</f>
        <v>#VALUE!</v>
      </c>
      <c r="FW19">
        <f>IF('Data Extract File Ty'!108:108,"AAAAAH/sd7I=",0)</f>
        <v>0</v>
      </c>
      <c r="FX19" t="e">
        <f>AND('Data Extract File Ty'!A108,"AAAAAH/sd7M=")</f>
        <v>#VALUE!</v>
      </c>
      <c r="FY19" t="e">
        <f>AND('Data Extract File Ty'!B108,"AAAAAH/sd7Q=")</f>
        <v>#VALUE!</v>
      </c>
      <c r="FZ19" t="e">
        <f>AND('Data Extract File Ty'!C108,"AAAAAH/sd7U=")</f>
        <v>#VALUE!</v>
      </c>
      <c r="GA19" t="e">
        <f>AND('Data Extract File Ty'!D108,"AAAAAH/sd7Y=")</f>
        <v>#VALUE!</v>
      </c>
      <c r="GB19">
        <f>IF('Data Extract File Ty'!109:109,"AAAAAH/sd7c=",0)</f>
        <v>0</v>
      </c>
      <c r="GC19" t="e">
        <f>AND('Data Extract File Ty'!A109,"AAAAAH/sd7g=")</f>
        <v>#VALUE!</v>
      </c>
      <c r="GD19" t="e">
        <f>AND('Data Extract File Ty'!B109,"AAAAAH/sd7k=")</f>
        <v>#VALUE!</v>
      </c>
      <c r="GE19" t="e">
        <f>AND('Data Extract File Ty'!C109,"AAAAAH/sd7o=")</f>
        <v>#VALUE!</v>
      </c>
      <c r="GF19" t="e">
        <f>AND('Data Extract File Ty'!D109,"AAAAAH/sd7s=")</f>
        <v>#VALUE!</v>
      </c>
      <c r="GG19">
        <f>IF('Data Extract File Ty'!110:110,"AAAAAH/sd7w=",0)</f>
        <v>0</v>
      </c>
      <c r="GH19" t="e">
        <f>AND('Data Extract File Ty'!A110,"AAAAAH/sd70=")</f>
        <v>#VALUE!</v>
      </c>
      <c r="GI19" t="e">
        <f>AND('Data Extract File Ty'!B110,"AAAAAH/sd74=")</f>
        <v>#VALUE!</v>
      </c>
      <c r="GJ19" t="e">
        <f>AND('Data Extract File Ty'!C110,"AAAAAH/sd78=")</f>
        <v>#VALUE!</v>
      </c>
      <c r="GK19" t="e">
        <f>AND('Data Extract File Ty'!D110,"AAAAAH/sd8A=")</f>
        <v>#VALUE!</v>
      </c>
      <c r="GL19">
        <f>IF('Data Extract File Ty'!111:111,"AAAAAH/sd8E=",0)</f>
        <v>0</v>
      </c>
      <c r="GM19" t="e">
        <f>AND('Data Extract File Ty'!A111,"AAAAAH/sd8I=")</f>
        <v>#VALUE!</v>
      </c>
      <c r="GN19" t="e">
        <f>AND('Data Extract File Ty'!B111,"AAAAAH/sd8M=")</f>
        <v>#VALUE!</v>
      </c>
      <c r="GO19" t="e">
        <f>AND('Data Extract File Ty'!C111,"AAAAAH/sd8Q=")</f>
        <v>#VALUE!</v>
      </c>
      <c r="GP19" t="e">
        <f>AND('Data Extract File Ty'!D111,"AAAAAH/sd8U=")</f>
        <v>#VALUE!</v>
      </c>
      <c r="GQ19">
        <f>IF('Data Extract File Ty'!112:112,"AAAAAH/sd8Y=",0)</f>
        <v>0</v>
      </c>
      <c r="GR19" t="e">
        <f>AND('Data Extract File Ty'!A112,"AAAAAH/sd8c=")</f>
        <v>#VALUE!</v>
      </c>
      <c r="GS19" t="e">
        <f>AND('Data Extract File Ty'!B112,"AAAAAH/sd8g=")</f>
        <v>#VALUE!</v>
      </c>
      <c r="GT19" t="e">
        <f>AND('Data Extract File Ty'!C112,"AAAAAH/sd8k=")</f>
        <v>#VALUE!</v>
      </c>
      <c r="GU19" t="e">
        <f>AND('Data Extract File Ty'!D112,"AAAAAH/sd8o=")</f>
        <v>#VALUE!</v>
      </c>
      <c r="GV19">
        <f>IF('Data Extract File Ty'!113:113,"AAAAAH/sd8s=",0)</f>
        <v>0</v>
      </c>
      <c r="GW19" t="e">
        <f>AND('Data Extract File Ty'!A113,"AAAAAH/sd8w=")</f>
        <v>#VALUE!</v>
      </c>
      <c r="GX19" t="e">
        <f>AND('Data Extract File Ty'!B113,"AAAAAH/sd80=")</f>
        <v>#VALUE!</v>
      </c>
      <c r="GY19" t="e">
        <f>AND('Data Extract File Ty'!C113,"AAAAAH/sd84=")</f>
        <v>#VALUE!</v>
      </c>
      <c r="GZ19" t="e">
        <f>AND('Data Extract File Ty'!D113,"AAAAAH/sd88=")</f>
        <v>#VALUE!</v>
      </c>
      <c r="HA19">
        <f>IF('Data Extract File Ty'!114:114,"AAAAAH/sd9A=",0)</f>
        <v>0</v>
      </c>
      <c r="HB19" t="e">
        <f>AND('Data Extract File Ty'!A114,"AAAAAH/sd9E=")</f>
        <v>#VALUE!</v>
      </c>
      <c r="HC19" t="e">
        <f>AND('Data Extract File Ty'!B114,"AAAAAH/sd9I=")</f>
        <v>#VALUE!</v>
      </c>
      <c r="HD19" t="e">
        <f>AND('Data Extract File Ty'!C114,"AAAAAH/sd9M=")</f>
        <v>#VALUE!</v>
      </c>
      <c r="HE19" t="e">
        <f>AND('Data Extract File Ty'!D114,"AAAAAH/sd9Q=")</f>
        <v>#VALUE!</v>
      </c>
      <c r="HF19">
        <f>IF('Data Extract File Ty'!115:115,"AAAAAH/sd9U=",0)</f>
        <v>0</v>
      </c>
      <c r="HG19" t="e">
        <f>AND('Data Extract File Ty'!A115,"AAAAAH/sd9Y=")</f>
        <v>#VALUE!</v>
      </c>
      <c r="HH19" t="e">
        <f>AND('Data Extract File Ty'!B115,"AAAAAH/sd9c=")</f>
        <v>#VALUE!</v>
      </c>
      <c r="HI19" t="e">
        <f>AND('Data Extract File Ty'!C115,"AAAAAH/sd9g=")</f>
        <v>#VALUE!</v>
      </c>
      <c r="HJ19" t="e">
        <f>AND('Data Extract File Ty'!D115,"AAAAAH/sd9k=")</f>
        <v>#VALUE!</v>
      </c>
      <c r="HK19">
        <f>IF('Data Extract File Ty'!116:116,"AAAAAH/sd9o=",0)</f>
        <v>0</v>
      </c>
      <c r="HL19" t="e">
        <f>AND('Data Extract File Ty'!A116,"AAAAAH/sd9s=")</f>
        <v>#VALUE!</v>
      </c>
      <c r="HM19" t="e">
        <f>AND('Data Extract File Ty'!B116,"AAAAAH/sd9w=")</f>
        <v>#VALUE!</v>
      </c>
      <c r="HN19" t="e">
        <f>AND('Data Extract File Ty'!C116,"AAAAAH/sd90=")</f>
        <v>#VALUE!</v>
      </c>
      <c r="HO19" t="e">
        <f>AND('Data Extract File Ty'!D116,"AAAAAH/sd94=")</f>
        <v>#VALUE!</v>
      </c>
      <c r="HP19">
        <f>IF('Data Extract File Ty'!117:117,"AAAAAH/sd98=",0)</f>
        <v>0</v>
      </c>
      <c r="HQ19" t="e">
        <f>AND('Data Extract File Ty'!A117,"AAAAAH/sd+A=")</f>
        <v>#VALUE!</v>
      </c>
      <c r="HR19" t="e">
        <f>AND('Data Extract File Ty'!B117,"AAAAAH/sd+E=")</f>
        <v>#VALUE!</v>
      </c>
      <c r="HS19" t="e">
        <f>AND('Data Extract File Ty'!C117,"AAAAAH/sd+I=")</f>
        <v>#VALUE!</v>
      </c>
      <c r="HT19" t="e">
        <f>AND('Data Extract File Ty'!D117,"AAAAAH/sd+M=")</f>
        <v>#VALUE!</v>
      </c>
      <c r="HU19">
        <f>IF('Data Extract File Ty'!118:118,"AAAAAH/sd+Q=",0)</f>
        <v>0</v>
      </c>
      <c r="HV19" t="e">
        <f>AND('Data Extract File Ty'!A118,"AAAAAH/sd+U=")</f>
        <v>#VALUE!</v>
      </c>
      <c r="HW19" t="e">
        <f>AND('Data Extract File Ty'!B118,"AAAAAH/sd+Y=")</f>
        <v>#VALUE!</v>
      </c>
      <c r="HX19" t="e">
        <f>AND('Data Extract File Ty'!C118,"AAAAAH/sd+c=")</f>
        <v>#VALUE!</v>
      </c>
      <c r="HY19" t="e">
        <f>AND('Data Extract File Ty'!D118,"AAAAAH/sd+g=")</f>
        <v>#VALUE!</v>
      </c>
      <c r="HZ19">
        <f>IF('Data Extract File Ty'!119:119,"AAAAAH/sd+k=",0)</f>
        <v>0</v>
      </c>
      <c r="IA19" t="e">
        <f>AND('Data Extract File Ty'!A119,"AAAAAH/sd+o=")</f>
        <v>#VALUE!</v>
      </c>
      <c r="IB19" t="e">
        <f>AND('Data Extract File Ty'!B119,"AAAAAH/sd+s=")</f>
        <v>#VALUE!</v>
      </c>
      <c r="IC19" t="e">
        <f>AND('Data Extract File Ty'!C119,"AAAAAH/sd+w=")</f>
        <v>#VALUE!</v>
      </c>
      <c r="ID19" t="e">
        <f>AND('Data Extract File Ty'!D119,"AAAAAH/sd+0=")</f>
        <v>#VALUE!</v>
      </c>
      <c r="IE19">
        <f>IF('Data Extract File Ty'!120:120,"AAAAAH/sd+4=",0)</f>
        <v>0</v>
      </c>
      <c r="IF19" t="e">
        <f>AND('Data Extract File Ty'!A120,"AAAAAH/sd+8=")</f>
        <v>#VALUE!</v>
      </c>
      <c r="IG19" t="e">
        <f>AND('Data Extract File Ty'!B120,"AAAAAH/sd/A=")</f>
        <v>#VALUE!</v>
      </c>
      <c r="IH19" t="e">
        <f>AND('Data Extract File Ty'!C120,"AAAAAH/sd/E=")</f>
        <v>#VALUE!</v>
      </c>
      <c r="II19" t="e">
        <f>AND('Data Extract File Ty'!D120,"AAAAAH/sd/I=")</f>
        <v>#VALUE!</v>
      </c>
      <c r="IJ19">
        <f>IF('Data Extract File Ty'!121:121,"AAAAAH/sd/M=",0)</f>
        <v>0</v>
      </c>
      <c r="IK19" t="e">
        <f>AND('Data Extract File Ty'!A121,"AAAAAH/sd/Q=")</f>
        <v>#VALUE!</v>
      </c>
      <c r="IL19" t="e">
        <f>AND('Data Extract File Ty'!B121,"AAAAAH/sd/U=")</f>
        <v>#VALUE!</v>
      </c>
      <c r="IM19" t="e">
        <f>AND('Data Extract File Ty'!C121,"AAAAAH/sd/Y=")</f>
        <v>#VALUE!</v>
      </c>
      <c r="IN19" t="e">
        <f>AND('Data Extract File Ty'!D121,"AAAAAH/sd/c=")</f>
        <v>#VALUE!</v>
      </c>
      <c r="IO19">
        <f>IF('Data Extract File Ty'!122:122,"AAAAAH/sd/g=",0)</f>
        <v>0</v>
      </c>
      <c r="IP19" t="e">
        <f>AND('Data Extract File Ty'!A122,"AAAAAH/sd/k=")</f>
        <v>#VALUE!</v>
      </c>
      <c r="IQ19" t="e">
        <f>AND('Data Extract File Ty'!B122,"AAAAAH/sd/o=")</f>
        <v>#VALUE!</v>
      </c>
      <c r="IR19" t="e">
        <f>AND('Data Extract File Ty'!C122,"AAAAAH/sd/s=")</f>
        <v>#VALUE!</v>
      </c>
      <c r="IS19" t="e">
        <f>AND('Data Extract File Ty'!D122,"AAAAAH/sd/w=")</f>
        <v>#VALUE!</v>
      </c>
      <c r="IT19">
        <f>IF('Data Extract File Ty'!123:123,"AAAAAH/sd/0=",0)</f>
        <v>0</v>
      </c>
      <c r="IU19" t="e">
        <f>AND('Data Extract File Ty'!A123,"AAAAAH/sd/4=")</f>
        <v>#VALUE!</v>
      </c>
      <c r="IV19" t="e">
        <f>AND('Data Extract File Ty'!B123,"AAAAAH/sd/8=")</f>
        <v>#VALUE!</v>
      </c>
    </row>
    <row r="20" spans="1:256" x14ac:dyDescent="0.2">
      <c r="A20" t="e">
        <f>AND('Data Extract File Ty'!C123,"AAAAAD3vbQA=")</f>
        <v>#VALUE!</v>
      </c>
      <c r="B20" t="e">
        <f>AND('Data Extract File Ty'!D123,"AAAAAD3vbQE=")</f>
        <v>#VALUE!</v>
      </c>
      <c r="C20" t="e">
        <f>IF('Data Extract File Ty'!124:124,"AAAAAD3vbQI=",0)</f>
        <v>#VALUE!</v>
      </c>
      <c r="D20" t="e">
        <f>AND('Data Extract File Ty'!A124,"AAAAAD3vbQM=")</f>
        <v>#VALUE!</v>
      </c>
      <c r="E20" t="e">
        <f>AND('Data Extract File Ty'!B124,"AAAAAD3vbQQ=")</f>
        <v>#VALUE!</v>
      </c>
      <c r="F20" t="e">
        <f>AND('Data Extract File Ty'!C124,"AAAAAD3vbQU=")</f>
        <v>#VALUE!</v>
      </c>
      <c r="G20" t="e">
        <f>AND('Data Extract File Ty'!D124,"AAAAAD3vbQY=")</f>
        <v>#VALUE!</v>
      </c>
      <c r="H20">
        <f>IF('Data Extract File Ty'!125:125,"AAAAAD3vbQc=",0)</f>
        <v>0</v>
      </c>
      <c r="I20" t="e">
        <f>AND('Data Extract File Ty'!A125,"AAAAAD3vbQg=")</f>
        <v>#VALUE!</v>
      </c>
      <c r="J20" t="e">
        <f>AND('Data Extract File Ty'!B125,"AAAAAD3vbQk=")</f>
        <v>#VALUE!</v>
      </c>
      <c r="K20" t="e">
        <f>AND('Data Extract File Ty'!C125,"AAAAAD3vbQo=")</f>
        <v>#VALUE!</v>
      </c>
      <c r="L20" t="e">
        <f>AND('Data Extract File Ty'!D125,"AAAAAD3vbQs=")</f>
        <v>#VALUE!</v>
      </c>
      <c r="M20">
        <f>IF('Data Extract File Ty'!126:126,"AAAAAD3vbQw=",0)</f>
        <v>0</v>
      </c>
      <c r="N20" t="e">
        <f>AND('Data Extract File Ty'!A126,"AAAAAD3vbQ0=")</f>
        <v>#VALUE!</v>
      </c>
      <c r="O20" t="e">
        <f>AND('Data Extract File Ty'!B126,"AAAAAD3vbQ4=")</f>
        <v>#VALUE!</v>
      </c>
      <c r="P20" t="e">
        <f>AND('Data Extract File Ty'!C126,"AAAAAD3vbQ8=")</f>
        <v>#VALUE!</v>
      </c>
      <c r="Q20" t="e">
        <f>AND('Data Extract File Ty'!D126,"AAAAAD3vbRA=")</f>
        <v>#VALUE!</v>
      </c>
      <c r="R20">
        <f>IF('Data Extract File Ty'!127:127,"AAAAAD3vbRE=",0)</f>
        <v>0</v>
      </c>
      <c r="S20" t="e">
        <f>AND('Data Extract File Ty'!A127,"AAAAAD3vbRI=")</f>
        <v>#VALUE!</v>
      </c>
      <c r="T20" t="e">
        <f>AND('Data Extract File Ty'!B127,"AAAAAD3vbRM=")</f>
        <v>#VALUE!</v>
      </c>
      <c r="U20" t="e">
        <f>AND('Data Extract File Ty'!C127,"AAAAAD3vbRQ=")</f>
        <v>#VALUE!</v>
      </c>
      <c r="V20" t="e">
        <f>AND('Data Extract File Ty'!D127,"AAAAAD3vbRU=")</f>
        <v>#VALUE!</v>
      </c>
      <c r="W20">
        <f>IF('Data Extract File Ty'!128:128,"AAAAAD3vbRY=",0)</f>
        <v>0</v>
      </c>
      <c r="X20" t="e">
        <f>AND('Data Extract File Ty'!A128,"AAAAAD3vbRc=")</f>
        <v>#VALUE!</v>
      </c>
      <c r="Y20" t="e">
        <f>AND('Data Extract File Ty'!B128,"AAAAAD3vbRg=")</f>
        <v>#VALUE!</v>
      </c>
      <c r="Z20" t="e">
        <f>AND('Data Extract File Ty'!C128,"AAAAAD3vbRk=")</f>
        <v>#VALUE!</v>
      </c>
      <c r="AA20" t="e">
        <f>AND('Data Extract File Ty'!D128,"AAAAAD3vbRo=")</f>
        <v>#VALUE!</v>
      </c>
      <c r="AB20">
        <f>IF('Data Extract File Ty'!129:129,"AAAAAD3vbRs=",0)</f>
        <v>0</v>
      </c>
      <c r="AC20" t="e">
        <f>AND('Data Extract File Ty'!A129,"AAAAAD3vbRw=")</f>
        <v>#VALUE!</v>
      </c>
      <c r="AD20" t="e">
        <f>AND('Data Extract File Ty'!B129,"AAAAAD3vbR0=")</f>
        <v>#VALUE!</v>
      </c>
      <c r="AE20" t="e">
        <f>AND('Data Extract File Ty'!C129,"AAAAAD3vbR4=")</f>
        <v>#VALUE!</v>
      </c>
      <c r="AF20" t="e">
        <f>AND('Data Extract File Ty'!D129,"AAAAAD3vbR8=")</f>
        <v>#VALUE!</v>
      </c>
      <c r="AG20">
        <f>IF('Data Extract File Ty'!130:130,"AAAAAD3vbSA=",0)</f>
        <v>0</v>
      </c>
      <c r="AH20" t="e">
        <f>AND('Data Extract File Ty'!A130,"AAAAAD3vbSE=")</f>
        <v>#VALUE!</v>
      </c>
      <c r="AI20" t="e">
        <f>AND('Data Extract File Ty'!B130,"AAAAAD3vbSI=")</f>
        <v>#VALUE!</v>
      </c>
      <c r="AJ20" t="e">
        <f>AND('Data Extract File Ty'!C130,"AAAAAD3vbSM=")</f>
        <v>#VALUE!</v>
      </c>
      <c r="AK20" t="e">
        <f>AND('Data Extract File Ty'!D130,"AAAAAD3vbSQ=")</f>
        <v>#VALUE!</v>
      </c>
      <c r="AL20">
        <f>IF('Data Extract File Ty'!131:131,"AAAAAD3vbSU=",0)</f>
        <v>0</v>
      </c>
      <c r="AM20" t="e">
        <f>AND('Data Extract File Ty'!A131,"AAAAAD3vbSY=")</f>
        <v>#VALUE!</v>
      </c>
      <c r="AN20" t="e">
        <f>AND('Data Extract File Ty'!B131,"AAAAAD3vbSc=")</f>
        <v>#VALUE!</v>
      </c>
      <c r="AO20" t="e">
        <f>AND('Data Extract File Ty'!C131,"AAAAAD3vbSg=")</f>
        <v>#VALUE!</v>
      </c>
      <c r="AP20" t="e">
        <f>AND('Data Extract File Ty'!D131,"AAAAAD3vbSk=")</f>
        <v>#VALUE!</v>
      </c>
      <c r="AQ20">
        <f>IF('Data Extract File Ty'!132:132,"AAAAAD3vbSo=",0)</f>
        <v>0</v>
      </c>
      <c r="AR20" t="e">
        <f>AND('Data Extract File Ty'!A132,"AAAAAD3vbSs=")</f>
        <v>#VALUE!</v>
      </c>
      <c r="AS20" t="e">
        <f>AND('Data Extract File Ty'!B132,"AAAAAD3vbSw=")</f>
        <v>#VALUE!</v>
      </c>
      <c r="AT20" t="e">
        <f>AND('Data Extract File Ty'!C132,"AAAAAD3vbS0=")</f>
        <v>#VALUE!</v>
      </c>
      <c r="AU20" t="e">
        <f>AND('Data Extract File Ty'!D132,"AAAAAD3vbS4=")</f>
        <v>#VALUE!</v>
      </c>
      <c r="AV20">
        <f>IF('Data Extract File Ty'!133:133,"AAAAAD3vbS8=",0)</f>
        <v>0</v>
      </c>
      <c r="AW20" t="e">
        <f>AND('Data Extract File Ty'!A133,"AAAAAD3vbTA=")</f>
        <v>#VALUE!</v>
      </c>
      <c r="AX20" t="e">
        <f>AND('Data Extract File Ty'!B133,"AAAAAD3vbTE=")</f>
        <v>#VALUE!</v>
      </c>
      <c r="AY20" t="e">
        <f>AND('Data Extract File Ty'!C133,"AAAAAD3vbTI=")</f>
        <v>#VALUE!</v>
      </c>
      <c r="AZ20" t="e">
        <f>AND('Data Extract File Ty'!D133,"AAAAAD3vbTM=")</f>
        <v>#VALUE!</v>
      </c>
      <c r="BA20">
        <f>IF('Data Extract File Ty'!134:134,"AAAAAD3vbTQ=",0)</f>
        <v>0</v>
      </c>
      <c r="BB20" t="e">
        <f>AND('Data Extract File Ty'!A134,"AAAAAD3vbTU=")</f>
        <v>#VALUE!</v>
      </c>
      <c r="BC20" t="e">
        <f>AND('Data Extract File Ty'!B134,"AAAAAD3vbTY=")</f>
        <v>#VALUE!</v>
      </c>
      <c r="BD20" t="e">
        <f>AND('Data Extract File Ty'!C134,"AAAAAD3vbTc=")</f>
        <v>#VALUE!</v>
      </c>
      <c r="BE20" t="e">
        <f>AND('Data Extract File Ty'!D134,"AAAAAD3vbTg=")</f>
        <v>#VALUE!</v>
      </c>
      <c r="BF20">
        <f>IF('Data Extract File Ty'!135:135,"AAAAAD3vbTk=",0)</f>
        <v>0</v>
      </c>
      <c r="BG20" t="e">
        <f>AND('Data Extract File Ty'!A135,"AAAAAD3vbTo=")</f>
        <v>#VALUE!</v>
      </c>
      <c r="BH20" t="e">
        <f>AND('Data Extract File Ty'!B135,"AAAAAD3vbTs=")</f>
        <v>#VALUE!</v>
      </c>
      <c r="BI20" t="e">
        <f>AND('Data Extract File Ty'!C135,"AAAAAD3vbTw=")</f>
        <v>#VALUE!</v>
      </c>
      <c r="BJ20" t="e">
        <f>AND('Data Extract File Ty'!D135,"AAAAAD3vbT0=")</f>
        <v>#VALUE!</v>
      </c>
      <c r="BK20">
        <f>IF('Data Extract File Ty'!136:136,"AAAAAD3vbT4=",0)</f>
        <v>0</v>
      </c>
      <c r="BL20" t="e">
        <f>AND('Data Extract File Ty'!A136,"AAAAAD3vbT8=")</f>
        <v>#VALUE!</v>
      </c>
      <c r="BM20" t="e">
        <f>AND('Data Extract File Ty'!B136,"AAAAAD3vbUA=")</f>
        <v>#VALUE!</v>
      </c>
      <c r="BN20" t="e">
        <f>AND('Data Extract File Ty'!C136,"AAAAAD3vbUE=")</f>
        <v>#VALUE!</v>
      </c>
      <c r="BO20" t="e">
        <f>AND('Data Extract File Ty'!D136,"AAAAAD3vbUI=")</f>
        <v>#VALUE!</v>
      </c>
      <c r="BP20">
        <f>IF('Data Extract File Ty'!137:137,"AAAAAD3vbUM=",0)</f>
        <v>0</v>
      </c>
      <c r="BQ20" t="e">
        <f>AND('Data Extract File Ty'!A137,"AAAAAD3vbUQ=")</f>
        <v>#VALUE!</v>
      </c>
      <c r="BR20" t="e">
        <f>AND('Data Extract File Ty'!B137,"AAAAAD3vbUU=")</f>
        <v>#VALUE!</v>
      </c>
      <c r="BS20" t="e">
        <f>AND('Data Extract File Ty'!C137,"AAAAAD3vbUY=")</f>
        <v>#VALUE!</v>
      </c>
      <c r="BT20" t="e">
        <f>AND('Data Extract File Ty'!D137,"AAAAAD3vbUc=")</f>
        <v>#VALUE!</v>
      </c>
      <c r="BU20">
        <f>IF('Data Extract File Ty'!138:138,"AAAAAD3vbUg=",0)</f>
        <v>0</v>
      </c>
      <c r="BV20" t="e">
        <f>AND('Data Extract File Ty'!A138,"AAAAAD3vbUk=")</f>
        <v>#VALUE!</v>
      </c>
      <c r="BW20" t="e">
        <f>AND('Data Extract File Ty'!B138,"AAAAAD3vbUo=")</f>
        <v>#VALUE!</v>
      </c>
      <c r="BX20" t="e">
        <f>AND('Data Extract File Ty'!C138,"AAAAAD3vbUs=")</f>
        <v>#VALUE!</v>
      </c>
      <c r="BY20" t="e">
        <f>AND('Data Extract File Ty'!D138,"AAAAAD3vbUw=")</f>
        <v>#VALUE!</v>
      </c>
      <c r="BZ20">
        <f>IF('Data Extract File Ty'!139:139,"AAAAAD3vbU0=",0)</f>
        <v>0</v>
      </c>
      <c r="CA20" t="e">
        <f>AND('Data Extract File Ty'!A139,"AAAAAD3vbU4=")</f>
        <v>#VALUE!</v>
      </c>
      <c r="CB20" t="e">
        <f>AND('Data Extract File Ty'!B139,"AAAAAD3vbU8=")</f>
        <v>#VALUE!</v>
      </c>
      <c r="CC20" t="e">
        <f>AND('Data Extract File Ty'!C139,"AAAAAD3vbVA=")</f>
        <v>#VALUE!</v>
      </c>
      <c r="CD20" t="e">
        <f>AND('Data Extract File Ty'!D139,"AAAAAD3vbVE=")</f>
        <v>#VALUE!</v>
      </c>
      <c r="CE20">
        <f>IF('Data Extract File Ty'!140:140,"AAAAAD3vbVI=",0)</f>
        <v>0</v>
      </c>
      <c r="CF20" t="e">
        <f>AND('Data Extract File Ty'!A140,"AAAAAD3vbVM=")</f>
        <v>#VALUE!</v>
      </c>
      <c r="CG20" t="e">
        <f>AND('Data Extract File Ty'!B140,"AAAAAD3vbVQ=")</f>
        <v>#VALUE!</v>
      </c>
      <c r="CH20" t="e">
        <f>AND('Data Extract File Ty'!C140,"AAAAAD3vbVU=")</f>
        <v>#VALUE!</v>
      </c>
      <c r="CI20" t="e">
        <f>AND('Data Extract File Ty'!D140,"AAAAAD3vbVY=")</f>
        <v>#VALUE!</v>
      </c>
      <c r="CJ20">
        <f>IF('Data Extract File Ty'!141:141,"AAAAAD3vbVc=",0)</f>
        <v>0</v>
      </c>
      <c r="CK20" t="e">
        <f>AND('Data Extract File Ty'!A141,"AAAAAD3vbVg=")</f>
        <v>#VALUE!</v>
      </c>
      <c r="CL20" t="e">
        <f>AND('Data Extract File Ty'!B141,"AAAAAD3vbVk=")</f>
        <v>#VALUE!</v>
      </c>
      <c r="CM20" t="e">
        <f>AND('Data Extract File Ty'!C141,"AAAAAD3vbVo=")</f>
        <v>#VALUE!</v>
      </c>
      <c r="CN20" t="e">
        <f>AND('Data Extract File Ty'!D141,"AAAAAD3vbVs=")</f>
        <v>#VALUE!</v>
      </c>
      <c r="CO20">
        <f>IF('Data Extract File Ty'!142:142,"AAAAAD3vbVw=",0)</f>
        <v>0</v>
      </c>
      <c r="CP20" t="e">
        <f>AND('Data Extract File Ty'!A142,"AAAAAD3vbV0=")</f>
        <v>#VALUE!</v>
      </c>
      <c r="CQ20" t="e">
        <f>AND('Data Extract File Ty'!B142,"AAAAAD3vbV4=")</f>
        <v>#VALUE!</v>
      </c>
      <c r="CR20" t="e">
        <f>AND('Data Extract File Ty'!C142,"AAAAAD3vbV8=")</f>
        <v>#VALUE!</v>
      </c>
      <c r="CS20" t="e">
        <f>AND('Data Extract File Ty'!D142,"AAAAAD3vbWA=")</f>
        <v>#VALUE!</v>
      </c>
      <c r="CT20">
        <f>IF('Data Extract File Ty'!143:143,"AAAAAD3vbWE=",0)</f>
        <v>0</v>
      </c>
      <c r="CU20" t="e">
        <f>AND('Data Extract File Ty'!A143,"AAAAAD3vbWI=")</f>
        <v>#VALUE!</v>
      </c>
      <c r="CV20" t="e">
        <f>AND('Data Extract File Ty'!B143,"AAAAAD3vbWM=")</f>
        <v>#VALUE!</v>
      </c>
      <c r="CW20" t="e">
        <f>AND('Data Extract File Ty'!C143,"AAAAAD3vbWQ=")</f>
        <v>#VALUE!</v>
      </c>
      <c r="CX20" t="e">
        <f>AND('Data Extract File Ty'!D143,"AAAAAD3vbWU=")</f>
        <v>#VALUE!</v>
      </c>
      <c r="CY20">
        <f>IF('Data Extract File Ty'!144:144,"AAAAAD3vbWY=",0)</f>
        <v>0</v>
      </c>
      <c r="CZ20" t="e">
        <f>AND('Data Extract File Ty'!A144,"AAAAAD3vbWc=")</f>
        <v>#VALUE!</v>
      </c>
      <c r="DA20" t="e">
        <f>AND('Data Extract File Ty'!B144,"AAAAAD3vbWg=")</f>
        <v>#VALUE!</v>
      </c>
      <c r="DB20" t="e">
        <f>AND('Data Extract File Ty'!C144,"AAAAAD3vbWk=")</f>
        <v>#VALUE!</v>
      </c>
      <c r="DC20" t="e">
        <f>AND('Data Extract File Ty'!D144,"AAAAAD3vbWo=")</f>
        <v>#VALUE!</v>
      </c>
      <c r="DD20">
        <f>IF('Data Extract File Ty'!145:145,"AAAAAD3vbWs=",0)</f>
        <v>0</v>
      </c>
      <c r="DE20" t="e">
        <f>AND('Data Extract File Ty'!A145,"AAAAAD3vbWw=")</f>
        <v>#VALUE!</v>
      </c>
      <c r="DF20" t="e">
        <f>AND('Data Extract File Ty'!B145,"AAAAAD3vbW0=")</f>
        <v>#VALUE!</v>
      </c>
      <c r="DG20" t="e">
        <f>AND('Data Extract File Ty'!C145,"AAAAAD3vbW4=")</f>
        <v>#VALUE!</v>
      </c>
      <c r="DH20" t="e">
        <f>AND('Data Extract File Ty'!D145,"AAAAAD3vbW8=")</f>
        <v>#VALUE!</v>
      </c>
      <c r="DI20">
        <f>IF('Data Extract File Ty'!146:146,"AAAAAD3vbXA=",0)</f>
        <v>0</v>
      </c>
      <c r="DJ20" t="e">
        <f>AND('Data Extract File Ty'!A146,"AAAAAD3vbXE=")</f>
        <v>#VALUE!</v>
      </c>
      <c r="DK20" t="e">
        <f>AND('Data Extract File Ty'!B146,"AAAAAD3vbXI=")</f>
        <v>#VALUE!</v>
      </c>
      <c r="DL20" t="e">
        <f>AND('Data Extract File Ty'!C146,"AAAAAD3vbXM=")</f>
        <v>#VALUE!</v>
      </c>
      <c r="DM20" t="e">
        <f>AND('Data Extract File Ty'!D146,"AAAAAD3vbXQ=")</f>
        <v>#VALUE!</v>
      </c>
      <c r="DN20">
        <f>IF('Data Extract File Ty'!147:147,"AAAAAD3vbXU=",0)</f>
        <v>0</v>
      </c>
      <c r="DO20" t="e">
        <f>AND('Data Extract File Ty'!A147,"AAAAAD3vbXY=")</f>
        <v>#VALUE!</v>
      </c>
      <c r="DP20" t="e">
        <f>AND('Data Extract File Ty'!B147,"AAAAAD3vbXc=")</f>
        <v>#VALUE!</v>
      </c>
      <c r="DQ20" t="e">
        <f>AND('Data Extract File Ty'!C147,"AAAAAD3vbXg=")</f>
        <v>#VALUE!</v>
      </c>
      <c r="DR20" t="e">
        <f>AND('Data Extract File Ty'!D147,"AAAAAD3vbXk=")</f>
        <v>#VALUE!</v>
      </c>
      <c r="DS20">
        <f>IF('Data Extract File Ty'!148:148,"AAAAAD3vbXo=",0)</f>
        <v>0</v>
      </c>
      <c r="DT20" t="e">
        <f>AND('Data Extract File Ty'!A148,"AAAAAD3vbXs=")</f>
        <v>#VALUE!</v>
      </c>
      <c r="DU20" t="e">
        <f>AND('Data Extract File Ty'!B148,"AAAAAD3vbXw=")</f>
        <v>#VALUE!</v>
      </c>
      <c r="DV20" t="e">
        <f>AND('Data Extract File Ty'!C148,"AAAAAD3vbX0=")</f>
        <v>#VALUE!</v>
      </c>
      <c r="DW20" t="e">
        <f>AND('Data Extract File Ty'!D148,"AAAAAD3vbX4=")</f>
        <v>#VALUE!</v>
      </c>
      <c r="DX20">
        <f>IF('Data Extract File Ty'!149:149,"AAAAAD3vbX8=",0)</f>
        <v>0</v>
      </c>
      <c r="DY20" t="e">
        <f>AND('Data Extract File Ty'!A149,"AAAAAD3vbYA=")</f>
        <v>#VALUE!</v>
      </c>
      <c r="DZ20" t="e">
        <f>AND('Data Extract File Ty'!B149,"AAAAAD3vbYE=")</f>
        <v>#VALUE!</v>
      </c>
      <c r="EA20" t="e">
        <f>AND('Data Extract File Ty'!C149,"AAAAAD3vbYI=")</f>
        <v>#VALUE!</v>
      </c>
      <c r="EB20" t="e">
        <f>AND('Data Extract File Ty'!D149,"AAAAAD3vbYM=")</f>
        <v>#VALUE!</v>
      </c>
      <c r="EC20">
        <f>IF('Data Extract File Ty'!150:150,"AAAAAD3vbYQ=",0)</f>
        <v>0</v>
      </c>
      <c r="ED20" t="e">
        <f>AND('Data Extract File Ty'!A150,"AAAAAD3vbYU=")</f>
        <v>#VALUE!</v>
      </c>
      <c r="EE20" t="e">
        <f>AND('Data Extract File Ty'!B150,"AAAAAD3vbYY=")</f>
        <v>#VALUE!</v>
      </c>
      <c r="EF20" t="e">
        <f>AND('Data Extract File Ty'!C150,"AAAAAD3vbYc=")</f>
        <v>#VALUE!</v>
      </c>
      <c r="EG20" t="e">
        <f>AND('Data Extract File Ty'!D150,"AAAAAD3vbYg=")</f>
        <v>#VALUE!</v>
      </c>
      <c r="EH20">
        <f>IF('Data Extract File Ty'!151:151,"AAAAAD3vbYk=",0)</f>
        <v>0</v>
      </c>
      <c r="EI20" t="e">
        <f>AND('Data Extract File Ty'!A151,"AAAAAD3vbYo=")</f>
        <v>#VALUE!</v>
      </c>
      <c r="EJ20" t="e">
        <f>AND('Data Extract File Ty'!B151,"AAAAAD3vbYs=")</f>
        <v>#VALUE!</v>
      </c>
      <c r="EK20" t="e">
        <f>AND('Data Extract File Ty'!C151,"AAAAAD3vbYw=")</f>
        <v>#VALUE!</v>
      </c>
      <c r="EL20" t="e">
        <f>AND('Data Extract File Ty'!D151,"AAAAAD3vbY0=")</f>
        <v>#VALUE!</v>
      </c>
      <c r="EM20">
        <f>IF('Data Extract File Ty'!152:152,"AAAAAD3vbY4=",0)</f>
        <v>0</v>
      </c>
      <c r="EN20" t="e">
        <f>AND('Data Extract File Ty'!A152,"AAAAAD3vbY8=")</f>
        <v>#VALUE!</v>
      </c>
      <c r="EO20" t="e">
        <f>AND('Data Extract File Ty'!B152,"AAAAAD3vbZA=")</f>
        <v>#VALUE!</v>
      </c>
      <c r="EP20" t="e">
        <f>AND('Data Extract File Ty'!C152,"AAAAAD3vbZE=")</f>
        <v>#VALUE!</v>
      </c>
      <c r="EQ20" t="e">
        <f>AND('Data Extract File Ty'!D152,"AAAAAD3vbZI=")</f>
        <v>#VALUE!</v>
      </c>
      <c r="ER20">
        <f>IF('Data Extract File Ty'!153:153,"AAAAAD3vbZM=",0)</f>
        <v>0</v>
      </c>
      <c r="ES20" t="e">
        <f>AND('Data Extract File Ty'!A153,"AAAAAD3vbZQ=")</f>
        <v>#VALUE!</v>
      </c>
      <c r="ET20" t="e">
        <f>AND('Data Extract File Ty'!B153,"AAAAAD3vbZU=")</f>
        <v>#VALUE!</v>
      </c>
      <c r="EU20" t="e">
        <f>AND('Data Extract File Ty'!C153,"AAAAAD3vbZY=")</f>
        <v>#VALUE!</v>
      </c>
      <c r="EV20" t="e">
        <f>AND('Data Extract File Ty'!D153,"AAAAAD3vbZc=")</f>
        <v>#VALUE!</v>
      </c>
      <c r="EW20">
        <f>IF('Data Extract File Ty'!154:154,"AAAAAD3vbZg=",0)</f>
        <v>0</v>
      </c>
      <c r="EX20" t="e">
        <f>AND('Data Extract File Ty'!A154,"AAAAAD3vbZk=")</f>
        <v>#VALUE!</v>
      </c>
      <c r="EY20" t="e">
        <f>AND('Data Extract File Ty'!B154,"AAAAAD3vbZo=")</f>
        <v>#VALUE!</v>
      </c>
      <c r="EZ20" t="e">
        <f>AND('Data Extract File Ty'!C154,"AAAAAD3vbZs=")</f>
        <v>#VALUE!</v>
      </c>
      <c r="FA20" t="e">
        <f>AND('Data Extract File Ty'!D154,"AAAAAD3vbZw=")</f>
        <v>#VALUE!</v>
      </c>
      <c r="FB20">
        <f>IF('Data Extract File Ty'!155:155,"AAAAAD3vbZ0=",0)</f>
        <v>0</v>
      </c>
      <c r="FC20" t="e">
        <f>AND('Data Extract File Ty'!A155,"AAAAAD3vbZ4=")</f>
        <v>#VALUE!</v>
      </c>
      <c r="FD20" t="e">
        <f>AND('Data Extract File Ty'!B155,"AAAAAD3vbZ8=")</f>
        <v>#VALUE!</v>
      </c>
      <c r="FE20" t="e">
        <f>AND('Data Extract File Ty'!C155,"AAAAAD3vbaA=")</f>
        <v>#VALUE!</v>
      </c>
      <c r="FF20" t="e">
        <f>AND('Data Extract File Ty'!D155,"AAAAAD3vbaE=")</f>
        <v>#VALUE!</v>
      </c>
      <c r="FG20">
        <f>IF('Data Extract File Ty'!156:156,"AAAAAD3vbaI=",0)</f>
        <v>0</v>
      </c>
      <c r="FH20" t="e">
        <f>AND('Data Extract File Ty'!A156,"AAAAAD3vbaM=")</f>
        <v>#VALUE!</v>
      </c>
      <c r="FI20" t="e">
        <f>AND('Data Extract File Ty'!B156,"AAAAAD3vbaQ=")</f>
        <v>#VALUE!</v>
      </c>
      <c r="FJ20" t="e">
        <f>AND('Data Extract File Ty'!C156,"AAAAAD3vbaU=")</f>
        <v>#VALUE!</v>
      </c>
      <c r="FK20" t="e">
        <f>AND('Data Extract File Ty'!D156,"AAAAAD3vbaY=")</f>
        <v>#VALUE!</v>
      </c>
      <c r="FL20">
        <f>IF('Data Extract File Ty'!157:157,"AAAAAD3vbac=",0)</f>
        <v>0</v>
      </c>
      <c r="FM20" t="e">
        <f>AND('Data Extract File Ty'!A157,"AAAAAD3vbag=")</f>
        <v>#VALUE!</v>
      </c>
      <c r="FN20" t="e">
        <f>AND('Data Extract File Ty'!B157,"AAAAAD3vbak=")</f>
        <v>#VALUE!</v>
      </c>
      <c r="FO20" t="e">
        <f>AND('Data Extract File Ty'!C157,"AAAAAD3vbao=")</f>
        <v>#VALUE!</v>
      </c>
      <c r="FP20" t="e">
        <f>AND('Data Extract File Ty'!D157,"AAAAAD3vbas=")</f>
        <v>#VALUE!</v>
      </c>
      <c r="FQ20">
        <f>IF('Data Extract File Ty'!158:158,"AAAAAD3vbaw=",0)</f>
        <v>0</v>
      </c>
      <c r="FR20" t="e">
        <f>AND('Data Extract File Ty'!A158,"AAAAAD3vba0=")</f>
        <v>#VALUE!</v>
      </c>
      <c r="FS20" t="e">
        <f>AND('Data Extract File Ty'!B158,"AAAAAD3vba4=")</f>
        <v>#VALUE!</v>
      </c>
      <c r="FT20" t="e">
        <f>AND('Data Extract File Ty'!C158,"AAAAAD3vba8=")</f>
        <v>#VALUE!</v>
      </c>
      <c r="FU20" t="e">
        <f>AND('Data Extract File Ty'!D158,"AAAAAD3vbbA=")</f>
        <v>#VALUE!</v>
      </c>
      <c r="FV20">
        <f>IF('Data Extract File Ty'!159:159,"AAAAAD3vbbE=",0)</f>
        <v>0</v>
      </c>
      <c r="FW20" t="e">
        <f>AND('Data Extract File Ty'!A159,"AAAAAD3vbbI=")</f>
        <v>#VALUE!</v>
      </c>
      <c r="FX20" t="e">
        <f>AND('Data Extract File Ty'!B159,"AAAAAD3vbbM=")</f>
        <v>#VALUE!</v>
      </c>
      <c r="FY20" t="e">
        <f>AND('Data Extract File Ty'!C159,"AAAAAD3vbbQ=")</f>
        <v>#VALUE!</v>
      </c>
      <c r="FZ20" t="e">
        <f>AND('Data Extract File Ty'!D159,"AAAAAD3vbbU=")</f>
        <v>#VALUE!</v>
      </c>
      <c r="GA20">
        <f>IF('Data Extract File Ty'!160:160,"AAAAAD3vbbY=",0)</f>
        <v>0</v>
      </c>
      <c r="GB20" t="e">
        <f>AND('Data Extract File Ty'!A160,"AAAAAD3vbbc=")</f>
        <v>#VALUE!</v>
      </c>
      <c r="GC20" t="e">
        <f>AND('Data Extract File Ty'!B160,"AAAAAD3vbbg=")</f>
        <v>#VALUE!</v>
      </c>
      <c r="GD20" t="e">
        <f>AND('Data Extract File Ty'!C160,"AAAAAD3vbbk=")</f>
        <v>#VALUE!</v>
      </c>
      <c r="GE20" t="e">
        <f>AND('Data Extract File Ty'!D160,"AAAAAD3vbbo=")</f>
        <v>#VALUE!</v>
      </c>
      <c r="GF20">
        <f>IF('Data Extract File Ty'!161:161,"AAAAAD3vbbs=",0)</f>
        <v>0</v>
      </c>
      <c r="GG20" t="e">
        <f>AND('Data Extract File Ty'!A161,"AAAAAD3vbbw=")</f>
        <v>#VALUE!</v>
      </c>
      <c r="GH20" t="e">
        <f>AND('Data Extract File Ty'!B161,"AAAAAD3vbb0=")</f>
        <v>#VALUE!</v>
      </c>
      <c r="GI20" t="e">
        <f>AND('Data Extract File Ty'!C161,"AAAAAD3vbb4=")</f>
        <v>#VALUE!</v>
      </c>
      <c r="GJ20" t="e">
        <f>AND('Data Extract File Ty'!D161,"AAAAAD3vbb8=")</f>
        <v>#VALUE!</v>
      </c>
      <c r="GK20">
        <f>IF('Data Extract File Ty'!162:162,"AAAAAD3vbcA=",0)</f>
        <v>0</v>
      </c>
      <c r="GL20" t="e">
        <f>AND('Data Extract File Ty'!A162,"AAAAAD3vbcE=")</f>
        <v>#VALUE!</v>
      </c>
      <c r="GM20" t="e">
        <f>AND('Data Extract File Ty'!B162,"AAAAAD3vbcI=")</f>
        <v>#VALUE!</v>
      </c>
      <c r="GN20" t="e">
        <f>AND('Data Extract File Ty'!C162,"AAAAAD3vbcM=")</f>
        <v>#VALUE!</v>
      </c>
      <c r="GO20" t="e">
        <f>AND('Data Extract File Ty'!D162,"AAAAAD3vbcQ=")</f>
        <v>#VALUE!</v>
      </c>
      <c r="GP20">
        <f>IF('Data Extract File Ty'!163:163,"AAAAAD3vbcU=",0)</f>
        <v>0</v>
      </c>
      <c r="GQ20" t="e">
        <f>AND('Data Extract File Ty'!A163,"AAAAAD3vbcY=")</f>
        <v>#VALUE!</v>
      </c>
      <c r="GR20" t="e">
        <f>AND('Data Extract File Ty'!B163,"AAAAAD3vbcc=")</f>
        <v>#VALUE!</v>
      </c>
      <c r="GS20" t="e">
        <f>AND('Data Extract File Ty'!C163,"AAAAAD3vbcg=")</f>
        <v>#VALUE!</v>
      </c>
      <c r="GT20" t="e">
        <f>AND('Data Extract File Ty'!D163,"AAAAAD3vbck=")</f>
        <v>#VALUE!</v>
      </c>
      <c r="GU20">
        <f>IF('Data Extract File Ty'!164:164,"AAAAAD3vbco=",0)</f>
        <v>0</v>
      </c>
      <c r="GV20" t="e">
        <f>AND('Data Extract File Ty'!A164,"AAAAAD3vbcs=")</f>
        <v>#VALUE!</v>
      </c>
      <c r="GW20" t="e">
        <f>AND('Data Extract File Ty'!B164,"AAAAAD3vbcw=")</f>
        <v>#VALUE!</v>
      </c>
      <c r="GX20" t="e">
        <f>AND('Data Extract File Ty'!C164,"AAAAAD3vbc0=")</f>
        <v>#VALUE!</v>
      </c>
      <c r="GY20" t="e">
        <f>AND('Data Extract File Ty'!D164,"AAAAAD3vbc4=")</f>
        <v>#VALUE!</v>
      </c>
      <c r="GZ20">
        <f>IF('Data Extract File Ty'!165:165,"AAAAAD3vbc8=",0)</f>
        <v>0</v>
      </c>
      <c r="HA20" t="e">
        <f>AND('Data Extract File Ty'!A165,"AAAAAD3vbdA=")</f>
        <v>#VALUE!</v>
      </c>
      <c r="HB20" t="e">
        <f>AND('Data Extract File Ty'!B165,"AAAAAD3vbdE=")</f>
        <v>#VALUE!</v>
      </c>
      <c r="HC20" t="e">
        <f>AND('Data Extract File Ty'!C165,"AAAAAD3vbdI=")</f>
        <v>#VALUE!</v>
      </c>
      <c r="HD20" t="e">
        <f>AND('Data Extract File Ty'!D165,"AAAAAD3vbdM=")</f>
        <v>#VALUE!</v>
      </c>
      <c r="HE20">
        <f>IF('Data Extract File Ty'!166:166,"AAAAAD3vbdQ=",0)</f>
        <v>0</v>
      </c>
      <c r="HF20" t="e">
        <f>AND('Data Extract File Ty'!A166,"AAAAAD3vbdU=")</f>
        <v>#VALUE!</v>
      </c>
      <c r="HG20" t="e">
        <f>AND('Data Extract File Ty'!B166,"AAAAAD3vbdY=")</f>
        <v>#VALUE!</v>
      </c>
      <c r="HH20" t="e">
        <f>AND('Data Extract File Ty'!C166,"AAAAAD3vbdc=")</f>
        <v>#VALUE!</v>
      </c>
      <c r="HI20" t="e">
        <f>AND('Data Extract File Ty'!D166,"AAAAAD3vbdg=")</f>
        <v>#VALUE!</v>
      </c>
      <c r="HJ20">
        <f>IF('Data Extract File Ty'!167:167,"AAAAAD3vbdk=",0)</f>
        <v>0</v>
      </c>
      <c r="HK20" t="e">
        <f>AND('Data Extract File Ty'!A167,"AAAAAD3vbdo=")</f>
        <v>#VALUE!</v>
      </c>
      <c r="HL20" t="e">
        <f>AND('Data Extract File Ty'!B167,"AAAAAD3vbds=")</f>
        <v>#VALUE!</v>
      </c>
      <c r="HM20" t="e">
        <f>AND('Data Extract File Ty'!C167,"AAAAAD3vbdw=")</f>
        <v>#VALUE!</v>
      </c>
      <c r="HN20" t="e">
        <f>AND('Data Extract File Ty'!D167,"AAAAAD3vbd0=")</f>
        <v>#VALUE!</v>
      </c>
      <c r="HO20">
        <f>IF('Data Extract File Ty'!168:168,"AAAAAD3vbd4=",0)</f>
        <v>0</v>
      </c>
      <c r="HP20" t="e">
        <f>AND('Data Extract File Ty'!A168,"AAAAAD3vbd8=")</f>
        <v>#VALUE!</v>
      </c>
      <c r="HQ20" t="e">
        <f>AND('Data Extract File Ty'!B168,"AAAAAD3vbeA=")</f>
        <v>#VALUE!</v>
      </c>
      <c r="HR20" t="e">
        <f>AND('Data Extract File Ty'!C168,"AAAAAD3vbeE=")</f>
        <v>#VALUE!</v>
      </c>
      <c r="HS20" t="e">
        <f>AND('Data Extract File Ty'!D168,"AAAAAD3vbeI=")</f>
        <v>#VALUE!</v>
      </c>
      <c r="HT20">
        <f>IF('Data Extract File Ty'!169:169,"AAAAAD3vbeM=",0)</f>
        <v>0</v>
      </c>
      <c r="HU20" t="e">
        <f>AND('Data Extract File Ty'!A169,"AAAAAD3vbeQ=")</f>
        <v>#VALUE!</v>
      </c>
      <c r="HV20" t="e">
        <f>AND('Data Extract File Ty'!B169,"AAAAAD3vbeU=")</f>
        <v>#VALUE!</v>
      </c>
      <c r="HW20" t="e">
        <f>AND('Data Extract File Ty'!C169,"AAAAAD3vbeY=")</f>
        <v>#VALUE!</v>
      </c>
      <c r="HX20" t="e">
        <f>AND('Data Extract File Ty'!D169,"AAAAAD3vbec=")</f>
        <v>#VALUE!</v>
      </c>
      <c r="HY20">
        <f>IF('Data Extract File Ty'!170:170,"AAAAAD3vbeg=",0)</f>
        <v>0</v>
      </c>
      <c r="HZ20" t="e">
        <f>AND('Data Extract File Ty'!A170,"AAAAAD3vbek=")</f>
        <v>#VALUE!</v>
      </c>
      <c r="IA20" t="e">
        <f>AND('Data Extract File Ty'!B170,"AAAAAD3vbeo=")</f>
        <v>#VALUE!</v>
      </c>
      <c r="IB20" t="e">
        <f>AND('Data Extract File Ty'!C170,"AAAAAD3vbes=")</f>
        <v>#VALUE!</v>
      </c>
      <c r="IC20" t="e">
        <f>AND('Data Extract File Ty'!D170,"AAAAAD3vbew=")</f>
        <v>#VALUE!</v>
      </c>
      <c r="ID20">
        <f>IF('Data Extract File Ty'!171:171,"AAAAAD3vbe0=",0)</f>
        <v>0</v>
      </c>
      <c r="IE20" t="e">
        <f>AND('Data Extract File Ty'!A171,"AAAAAD3vbe4=")</f>
        <v>#VALUE!</v>
      </c>
      <c r="IF20" t="e">
        <f>AND('Data Extract File Ty'!B171,"AAAAAD3vbe8=")</f>
        <v>#VALUE!</v>
      </c>
      <c r="IG20" t="e">
        <f>AND('Data Extract File Ty'!C171,"AAAAAD3vbfA=")</f>
        <v>#VALUE!</v>
      </c>
      <c r="IH20" t="e">
        <f>AND('Data Extract File Ty'!D171,"AAAAAD3vbfE=")</f>
        <v>#VALUE!</v>
      </c>
      <c r="II20">
        <f>IF('Data Extract File Ty'!172:172,"AAAAAD3vbfI=",0)</f>
        <v>0</v>
      </c>
      <c r="IJ20" t="e">
        <f>AND('Data Extract File Ty'!A172,"AAAAAD3vbfM=")</f>
        <v>#VALUE!</v>
      </c>
      <c r="IK20" t="e">
        <f>AND('Data Extract File Ty'!B172,"AAAAAD3vbfQ=")</f>
        <v>#VALUE!</v>
      </c>
      <c r="IL20" t="e">
        <f>AND('Data Extract File Ty'!C172,"AAAAAD3vbfU=")</f>
        <v>#VALUE!</v>
      </c>
      <c r="IM20" t="e">
        <f>AND('Data Extract File Ty'!D172,"AAAAAD3vbfY=")</f>
        <v>#VALUE!</v>
      </c>
      <c r="IN20">
        <f>IF('Data Extract File Ty'!173:173,"AAAAAD3vbfc=",0)</f>
        <v>0</v>
      </c>
      <c r="IO20" t="e">
        <f>AND('Data Extract File Ty'!A173,"AAAAAD3vbfg=")</f>
        <v>#VALUE!</v>
      </c>
      <c r="IP20" t="e">
        <f>AND('Data Extract File Ty'!B173,"AAAAAD3vbfk=")</f>
        <v>#VALUE!</v>
      </c>
      <c r="IQ20" t="e">
        <f>AND('Data Extract File Ty'!C173,"AAAAAD3vbfo=")</f>
        <v>#VALUE!</v>
      </c>
      <c r="IR20" t="e">
        <f>AND('Data Extract File Ty'!D173,"AAAAAD3vbfs=")</f>
        <v>#VALUE!</v>
      </c>
      <c r="IS20">
        <f>IF('Data Extract File Ty'!174:174,"AAAAAD3vbfw=",0)</f>
        <v>0</v>
      </c>
      <c r="IT20" t="e">
        <f>AND('Data Extract File Ty'!A174,"AAAAAD3vbf0=")</f>
        <v>#VALUE!</v>
      </c>
      <c r="IU20" t="e">
        <f>AND('Data Extract File Ty'!B174,"AAAAAD3vbf4=")</f>
        <v>#VALUE!</v>
      </c>
      <c r="IV20" t="e">
        <f>AND('Data Extract File Ty'!C174,"AAAAAD3vbf8=")</f>
        <v>#VALUE!</v>
      </c>
    </row>
    <row r="21" spans="1:256" x14ac:dyDescent="0.2">
      <c r="A21" t="e">
        <f>AND('Data Extract File Ty'!D174,"AAAAAHt/swA=")</f>
        <v>#VALUE!</v>
      </c>
      <c r="B21" t="e">
        <f>IF('Data Extract File Ty'!175:175,"AAAAAHt/swE=",0)</f>
        <v>#VALUE!</v>
      </c>
      <c r="C21" t="e">
        <f>AND('Data Extract File Ty'!A175,"AAAAAHt/swI=")</f>
        <v>#VALUE!</v>
      </c>
      <c r="D21" t="e">
        <f>AND('Data Extract File Ty'!B175,"AAAAAHt/swM=")</f>
        <v>#VALUE!</v>
      </c>
      <c r="E21" t="e">
        <f>AND('Data Extract File Ty'!C175,"AAAAAHt/swQ=")</f>
        <v>#VALUE!</v>
      </c>
      <c r="F21" t="e">
        <f>AND('Data Extract File Ty'!D175,"AAAAAHt/swU=")</f>
        <v>#VALUE!</v>
      </c>
      <c r="G21">
        <f>IF('Data Extract File Ty'!176:176,"AAAAAHt/swY=",0)</f>
        <v>0</v>
      </c>
      <c r="H21" t="e">
        <f>AND('Data Extract File Ty'!A176,"AAAAAHt/swc=")</f>
        <v>#VALUE!</v>
      </c>
      <c r="I21" t="e">
        <f>AND('Data Extract File Ty'!B176,"AAAAAHt/swg=")</f>
        <v>#VALUE!</v>
      </c>
      <c r="J21" t="e">
        <f>AND('Data Extract File Ty'!C176,"AAAAAHt/swk=")</f>
        <v>#VALUE!</v>
      </c>
      <c r="K21" t="e">
        <f>AND('Data Extract File Ty'!D176,"AAAAAHt/swo=")</f>
        <v>#VALUE!</v>
      </c>
      <c r="L21">
        <f>IF('Data Extract File Ty'!177:177,"AAAAAHt/sws=",0)</f>
        <v>0</v>
      </c>
      <c r="M21" t="e">
        <f>AND('Data Extract File Ty'!A177,"AAAAAHt/sww=")</f>
        <v>#VALUE!</v>
      </c>
      <c r="N21" t="e">
        <f>AND('Data Extract File Ty'!B177,"AAAAAHt/sw0=")</f>
        <v>#VALUE!</v>
      </c>
      <c r="O21" t="e">
        <f>AND('Data Extract File Ty'!C177,"AAAAAHt/sw4=")</f>
        <v>#VALUE!</v>
      </c>
      <c r="P21" t="e">
        <f>AND('Data Extract File Ty'!D177,"AAAAAHt/sw8=")</f>
        <v>#VALUE!</v>
      </c>
      <c r="Q21">
        <f>IF('Data Extract File Ty'!178:178,"AAAAAHt/sxA=",0)</f>
        <v>0</v>
      </c>
      <c r="R21" t="e">
        <f>AND('Data Extract File Ty'!A178,"AAAAAHt/sxE=")</f>
        <v>#VALUE!</v>
      </c>
      <c r="S21" t="e">
        <f>AND('Data Extract File Ty'!B178,"AAAAAHt/sxI=")</f>
        <v>#VALUE!</v>
      </c>
      <c r="T21" t="e">
        <f>AND('Data Extract File Ty'!C178,"AAAAAHt/sxM=")</f>
        <v>#VALUE!</v>
      </c>
      <c r="U21" t="e">
        <f>AND('Data Extract File Ty'!D178,"AAAAAHt/sxQ=")</f>
        <v>#VALUE!</v>
      </c>
      <c r="V21">
        <f>IF('Data Extract File Ty'!179:179,"AAAAAHt/sxU=",0)</f>
        <v>0</v>
      </c>
      <c r="W21" t="e">
        <f>AND('Data Extract File Ty'!A179,"AAAAAHt/sxY=")</f>
        <v>#VALUE!</v>
      </c>
      <c r="X21" t="e">
        <f>AND('Data Extract File Ty'!B179,"AAAAAHt/sxc=")</f>
        <v>#VALUE!</v>
      </c>
      <c r="Y21" t="e">
        <f>AND('Data Extract File Ty'!C179,"AAAAAHt/sxg=")</f>
        <v>#VALUE!</v>
      </c>
      <c r="Z21" t="e">
        <f>AND('Data Extract File Ty'!D179,"AAAAAHt/sxk=")</f>
        <v>#VALUE!</v>
      </c>
      <c r="AA21">
        <f>IF('Data Extract File Ty'!180:180,"AAAAAHt/sxo=",0)</f>
        <v>0</v>
      </c>
      <c r="AB21" t="e">
        <f>AND('Data Extract File Ty'!A180,"AAAAAHt/sxs=")</f>
        <v>#VALUE!</v>
      </c>
      <c r="AC21" t="e">
        <f>AND('Data Extract File Ty'!B180,"AAAAAHt/sxw=")</f>
        <v>#VALUE!</v>
      </c>
      <c r="AD21" t="e">
        <f>AND('Data Extract File Ty'!C180,"AAAAAHt/sx0=")</f>
        <v>#VALUE!</v>
      </c>
      <c r="AE21" t="e">
        <f>AND('Data Extract File Ty'!D180,"AAAAAHt/sx4=")</f>
        <v>#VALUE!</v>
      </c>
      <c r="AF21">
        <f>IF('Data Extract File Ty'!181:181,"AAAAAHt/sx8=",0)</f>
        <v>0</v>
      </c>
      <c r="AG21" t="e">
        <f>AND('Data Extract File Ty'!A181,"AAAAAHt/syA=")</f>
        <v>#VALUE!</v>
      </c>
      <c r="AH21" t="e">
        <f>AND('Data Extract File Ty'!B181,"AAAAAHt/syE=")</f>
        <v>#VALUE!</v>
      </c>
      <c r="AI21" t="e">
        <f>AND('Data Extract File Ty'!C181,"AAAAAHt/syI=")</f>
        <v>#VALUE!</v>
      </c>
      <c r="AJ21" t="e">
        <f>AND('Data Extract File Ty'!D181,"AAAAAHt/syM=")</f>
        <v>#VALUE!</v>
      </c>
      <c r="AK21">
        <f>IF('Data Extract File Ty'!182:182,"AAAAAHt/syQ=",0)</f>
        <v>0</v>
      </c>
      <c r="AL21" t="e">
        <f>AND('Data Extract File Ty'!A182,"AAAAAHt/syU=")</f>
        <v>#VALUE!</v>
      </c>
      <c r="AM21" t="e">
        <f>AND('Data Extract File Ty'!B182,"AAAAAHt/syY=")</f>
        <v>#VALUE!</v>
      </c>
      <c r="AN21" t="e">
        <f>AND('Data Extract File Ty'!C182,"AAAAAHt/syc=")</f>
        <v>#VALUE!</v>
      </c>
      <c r="AO21" t="e">
        <f>AND('Data Extract File Ty'!D182,"AAAAAHt/syg=")</f>
        <v>#VALUE!</v>
      </c>
      <c r="AP21">
        <f>IF('Data Extract File Ty'!183:183,"AAAAAHt/syk=",0)</f>
        <v>0</v>
      </c>
      <c r="AQ21" t="e">
        <f>AND('Data Extract File Ty'!A183,"AAAAAHt/syo=")</f>
        <v>#VALUE!</v>
      </c>
      <c r="AR21" t="e">
        <f>AND('Data Extract File Ty'!B183,"AAAAAHt/sys=")</f>
        <v>#VALUE!</v>
      </c>
      <c r="AS21" t="e">
        <f>AND('Data Extract File Ty'!C183,"AAAAAHt/syw=")</f>
        <v>#VALUE!</v>
      </c>
      <c r="AT21" t="e">
        <f>AND('Data Extract File Ty'!D183,"AAAAAHt/sy0=")</f>
        <v>#VALUE!</v>
      </c>
      <c r="AU21">
        <f>IF('Data Extract File Ty'!184:184,"AAAAAHt/sy4=",0)</f>
        <v>0</v>
      </c>
      <c r="AV21" t="e">
        <f>AND('Data Extract File Ty'!A184,"AAAAAHt/sy8=")</f>
        <v>#VALUE!</v>
      </c>
      <c r="AW21" t="e">
        <f>AND('Data Extract File Ty'!B184,"AAAAAHt/szA=")</f>
        <v>#VALUE!</v>
      </c>
      <c r="AX21" t="e">
        <f>AND('Data Extract File Ty'!C184,"AAAAAHt/szE=")</f>
        <v>#VALUE!</v>
      </c>
      <c r="AY21" t="e">
        <f>AND('Data Extract File Ty'!D184,"AAAAAHt/szI=")</f>
        <v>#VALUE!</v>
      </c>
      <c r="AZ21">
        <f>IF('Data Extract File Ty'!185:185,"AAAAAHt/szM=",0)</f>
        <v>0</v>
      </c>
      <c r="BA21" t="e">
        <f>AND('Data Extract File Ty'!A185,"AAAAAHt/szQ=")</f>
        <v>#VALUE!</v>
      </c>
      <c r="BB21" t="e">
        <f>AND('Data Extract File Ty'!B185,"AAAAAHt/szU=")</f>
        <v>#VALUE!</v>
      </c>
      <c r="BC21" t="e">
        <f>AND('Data Extract File Ty'!C185,"AAAAAHt/szY=")</f>
        <v>#VALUE!</v>
      </c>
      <c r="BD21" t="e">
        <f>AND('Data Extract File Ty'!D185,"AAAAAHt/szc=")</f>
        <v>#VALUE!</v>
      </c>
      <c r="BE21">
        <f>IF('Data Extract File Ty'!186:186,"AAAAAHt/szg=",0)</f>
        <v>0</v>
      </c>
      <c r="BF21" t="e">
        <f>AND('Data Extract File Ty'!A186,"AAAAAHt/szk=")</f>
        <v>#VALUE!</v>
      </c>
      <c r="BG21" t="e">
        <f>AND('Data Extract File Ty'!B186,"AAAAAHt/szo=")</f>
        <v>#VALUE!</v>
      </c>
      <c r="BH21" t="e">
        <f>AND('Data Extract File Ty'!C186,"AAAAAHt/szs=")</f>
        <v>#VALUE!</v>
      </c>
      <c r="BI21" t="e">
        <f>AND('Data Extract File Ty'!D186,"AAAAAHt/szw=")</f>
        <v>#VALUE!</v>
      </c>
      <c r="BJ21">
        <f>IF('Data Extract File Ty'!187:187,"AAAAAHt/sz0=",0)</f>
        <v>0</v>
      </c>
      <c r="BK21" t="e">
        <f>AND('Data Extract File Ty'!A187,"AAAAAHt/sz4=")</f>
        <v>#VALUE!</v>
      </c>
      <c r="BL21" t="e">
        <f>AND('Data Extract File Ty'!B187,"AAAAAHt/sz8=")</f>
        <v>#VALUE!</v>
      </c>
      <c r="BM21" t="e">
        <f>AND('Data Extract File Ty'!C187,"AAAAAHt/s0A=")</f>
        <v>#VALUE!</v>
      </c>
      <c r="BN21" t="e">
        <f>AND('Data Extract File Ty'!D187,"AAAAAHt/s0E=")</f>
        <v>#VALUE!</v>
      </c>
      <c r="BO21">
        <f>IF('Data Extract File Ty'!188:188,"AAAAAHt/s0I=",0)</f>
        <v>0</v>
      </c>
      <c r="BP21" t="e">
        <f>AND('Data Extract File Ty'!A188,"AAAAAHt/s0M=")</f>
        <v>#VALUE!</v>
      </c>
      <c r="BQ21" t="e">
        <f>AND('Data Extract File Ty'!B188,"AAAAAHt/s0Q=")</f>
        <v>#VALUE!</v>
      </c>
      <c r="BR21" t="e">
        <f>AND('Data Extract File Ty'!C188,"AAAAAHt/s0U=")</f>
        <v>#VALUE!</v>
      </c>
      <c r="BS21" t="e">
        <f>AND('Data Extract File Ty'!D188,"AAAAAHt/s0Y=")</f>
        <v>#VALUE!</v>
      </c>
      <c r="BT21">
        <f>IF('Data Extract File Ty'!189:189,"AAAAAHt/s0c=",0)</f>
        <v>0</v>
      </c>
      <c r="BU21" t="e">
        <f>AND('Data Extract File Ty'!A189,"AAAAAHt/s0g=")</f>
        <v>#VALUE!</v>
      </c>
      <c r="BV21" t="e">
        <f>AND('Data Extract File Ty'!B189,"AAAAAHt/s0k=")</f>
        <v>#VALUE!</v>
      </c>
      <c r="BW21" t="e">
        <f>AND('Data Extract File Ty'!C189,"AAAAAHt/s0o=")</f>
        <v>#VALUE!</v>
      </c>
      <c r="BX21" t="e">
        <f>AND('Data Extract File Ty'!D189,"AAAAAHt/s0s=")</f>
        <v>#VALUE!</v>
      </c>
      <c r="BY21">
        <f>IF('Data Extract File Ty'!190:190,"AAAAAHt/s0w=",0)</f>
        <v>0</v>
      </c>
      <c r="BZ21" t="e">
        <f>AND('Data Extract File Ty'!A190,"AAAAAHt/s00=")</f>
        <v>#VALUE!</v>
      </c>
      <c r="CA21" t="e">
        <f>AND('Data Extract File Ty'!B190,"AAAAAHt/s04=")</f>
        <v>#VALUE!</v>
      </c>
      <c r="CB21" t="e">
        <f>AND('Data Extract File Ty'!C190,"AAAAAHt/s08=")</f>
        <v>#VALUE!</v>
      </c>
      <c r="CC21" t="e">
        <f>AND('Data Extract File Ty'!D190,"AAAAAHt/s1A=")</f>
        <v>#VALUE!</v>
      </c>
      <c r="CD21">
        <f>IF('Data Extract File Ty'!191:191,"AAAAAHt/s1E=",0)</f>
        <v>0</v>
      </c>
      <c r="CE21" t="e">
        <f>AND('Data Extract File Ty'!A191,"AAAAAHt/s1I=")</f>
        <v>#VALUE!</v>
      </c>
      <c r="CF21" t="e">
        <f>AND('Data Extract File Ty'!B191,"AAAAAHt/s1M=")</f>
        <v>#VALUE!</v>
      </c>
      <c r="CG21" t="e">
        <f>AND('Data Extract File Ty'!C191,"AAAAAHt/s1Q=")</f>
        <v>#VALUE!</v>
      </c>
      <c r="CH21" t="e">
        <f>AND('Data Extract File Ty'!D191,"AAAAAHt/s1U=")</f>
        <v>#VALUE!</v>
      </c>
      <c r="CI21">
        <f>IF('Data Extract File Ty'!192:192,"AAAAAHt/s1Y=",0)</f>
        <v>0</v>
      </c>
      <c r="CJ21" t="e">
        <f>AND('Data Extract File Ty'!A192,"AAAAAHt/s1c=")</f>
        <v>#VALUE!</v>
      </c>
      <c r="CK21" t="e">
        <f>AND('Data Extract File Ty'!B192,"AAAAAHt/s1g=")</f>
        <v>#VALUE!</v>
      </c>
      <c r="CL21" t="e">
        <f>AND('Data Extract File Ty'!C192,"AAAAAHt/s1k=")</f>
        <v>#VALUE!</v>
      </c>
      <c r="CM21" t="e">
        <f>AND('Data Extract File Ty'!D192,"AAAAAHt/s1o=")</f>
        <v>#VALUE!</v>
      </c>
      <c r="CN21">
        <f>IF('Data Extract File Ty'!193:193,"AAAAAHt/s1s=",0)</f>
        <v>0</v>
      </c>
      <c r="CO21" t="e">
        <f>AND('Data Extract File Ty'!A193,"AAAAAHt/s1w=")</f>
        <v>#VALUE!</v>
      </c>
      <c r="CP21" t="e">
        <f>AND('Data Extract File Ty'!B193,"AAAAAHt/s10=")</f>
        <v>#VALUE!</v>
      </c>
      <c r="CQ21" t="e">
        <f>AND('Data Extract File Ty'!C193,"AAAAAHt/s14=")</f>
        <v>#VALUE!</v>
      </c>
      <c r="CR21" t="e">
        <f>AND('Data Extract File Ty'!D193,"AAAAAHt/s18=")</f>
        <v>#VALUE!</v>
      </c>
      <c r="CS21">
        <f>IF('Data Extract File Ty'!194:194,"AAAAAHt/s2A=",0)</f>
        <v>0</v>
      </c>
      <c r="CT21" t="e">
        <f>AND('Data Extract File Ty'!A194,"AAAAAHt/s2E=")</f>
        <v>#VALUE!</v>
      </c>
      <c r="CU21" t="e">
        <f>AND('Data Extract File Ty'!B194,"AAAAAHt/s2I=")</f>
        <v>#VALUE!</v>
      </c>
      <c r="CV21" t="e">
        <f>AND('Data Extract File Ty'!C194,"AAAAAHt/s2M=")</f>
        <v>#VALUE!</v>
      </c>
      <c r="CW21" t="e">
        <f>AND('Data Extract File Ty'!D194,"AAAAAHt/s2Q=")</f>
        <v>#VALUE!</v>
      </c>
      <c r="CX21">
        <f>IF('Data Extract File Ty'!195:195,"AAAAAHt/s2U=",0)</f>
        <v>0</v>
      </c>
      <c r="CY21" t="e">
        <f>AND('Data Extract File Ty'!A195,"AAAAAHt/s2Y=")</f>
        <v>#VALUE!</v>
      </c>
      <c r="CZ21" t="e">
        <f>AND('Data Extract File Ty'!B195,"AAAAAHt/s2c=")</f>
        <v>#VALUE!</v>
      </c>
      <c r="DA21" t="e">
        <f>AND('Data Extract File Ty'!C195,"AAAAAHt/s2g=")</f>
        <v>#VALUE!</v>
      </c>
      <c r="DB21" t="e">
        <f>AND('Data Extract File Ty'!D195,"AAAAAHt/s2k=")</f>
        <v>#VALUE!</v>
      </c>
      <c r="DC21">
        <f>IF('Data Extract File Ty'!196:196,"AAAAAHt/s2o=",0)</f>
        <v>0</v>
      </c>
      <c r="DD21" t="e">
        <f>AND('Data Extract File Ty'!A196,"AAAAAHt/s2s=")</f>
        <v>#VALUE!</v>
      </c>
      <c r="DE21" t="e">
        <f>AND('Data Extract File Ty'!B196,"AAAAAHt/s2w=")</f>
        <v>#VALUE!</v>
      </c>
      <c r="DF21" t="e">
        <f>AND('Data Extract File Ty'!C196,"AAAAAHt/s20=")</f>
        <v>#VALUE!</v>
      </c>
      <c r="DG21" t="e">
        <f>AND('Data Extract File Ty'!D196,"AAAAAHt/s24=")</f>
        <v>#VALUE!</v>
      </c>
      <c r="DH21">
        <f>IF('Data Extract File Ty'!197:197,"AAAAAHt/s28=",0)</f>
        <v>0</v>
      </c>
      <c r="DI21" t="e">
        <f>AND('Data Extract File Ty'!A197,"AAAAAHt/s3A=")</f>
        <v>#VALUE!</v>
      </c>
      <c r="DJ21" t="e">
        <f>AND('Data Extract File Ty'!B197,"AAAAAHt/s3E=")</f>
        <v>#VALUE!</v>
      </c>
      <c r="DK21" t="e">
        <f>AND('Data Extract File Ty'!C197,"AAAAAHt/s3I=")</f>
        <v>#VALUE!</v>
      </c>
      <c r="DL21" t="e">
        <f>AND('Data Extract File Ty'!D197,"AAAAAHt/s3M=")</f>
        <v>#VALUE!</v>
      </c>
      <c r="DM21">
        <f>IF('Data Extract File Ty'!198:198,"AAAAAHt/s3Q=",0)</f>
        <v>0</v>
      </c>
      <c r="DN21" t="e">
        <f>AND('Data Extract File Ty'!A198,"AAAAAHt/s3U=")</f>
        <v>#VALUE!</v>
      </c>
      <c r="DO21" t="e">
        <f>AND('Data Extract File Ty'!B198,"AAAAAHt/s3Y=")</f>
        <v>#VALUE!</v>
      </c>
      <c r="DP21" t="e">
        <f>AND('Data Extract File Ty'!C198,"AAAAAHt/s3c=")</f>
        <v>#VALUE!</v>
      </c>
      <c r="DQ21" t="e">
        <f>AND('Data Extract File Ty'!D198,"AAAAAHt/s3g=")</f>
        <v>#VALUE!</v>
      </c>
      <c r="DR21">
        <f>IF('Data Extract File Ty'!199:199,"AAAAAHt/s3k=",0)</f>
        <v>0</v>
      </c>
      <c r="DS21" t="e">
        <f>AND('Data Extract File Ty'!A199,"AAAAAHt/s3o=")</f>
        <v>#VALUE!</v>
      </c>
      <c r="DT21" t="e">
        <f>AND('Data Extract File Ty'!B199,"AAAAAHt/s3s=")</f>
        <v>#VALUE!</v>
      </c>
      <c r="DU21" t="e">
        <f>AND('Data Extract File Ty'!C199,"AAAAAHt/s3w=")</f>
        <v>#VALUE!</v>
      </c>
      <c r="DV21" t="e">
        <f>AND('Data Extract File Ty'!D199,"AAAAAHt/s30=")</f>
        <v>#VALUE!</v>
      </c>
      <c r="DW21">
        <f>IF('Data Extract File Ty'!200:200,"AAAAAHt/s34=",0)</f>
        <v>0</v>
      </c>
      <c r="DX21" t="e">
        <f>AND('Data Extract File Ty'!A200,"AAAAAHt/s38=")</f>
        <v>#VALUE!</v>
      </c>
      <c r="DY21" t="e">
        <f>AND('Data Extract File Ty'!B200,"AAAAAHt/s4A=")</f>
        <v>#VALUE!</v>
      </c>
      <c r="DZ21" t="e">
        <f>AND('Data Extract File Ty'!C200,"AAAAAHt/s4E=")</f>
        <v>#VALUE!</v>
      </c>
      <c r="EA21" t="e">
        <f>AND('Data Extract File Ty'!D200,"AAAAAHt/s4I=")</f>
        <v>#VALUE!</v>
      </c>
      <c r="EB21">
        <f>IF('Data Extract File Ty'!201:201,"AAAAAHt/s4M=",0)</f>
        <v>0</v>
      </c>
      <c r="EC21" t="e">
        <f>AND('Data Extract File Ty'!A201,"AAAAAHt/s4Q=")</f>
        <v>#VALUE!</v>
      </c>
      <c r="ED21" t="e">
        <f>AND('Data Extract File Ty'!B201,"AAAAAHt/s4U=")</f>
        <v>#VALUE!</v>
      </c>
      <c r="EE21" t="e">
        <f>AND('Data Extract File Ty'!C201,"AAAAAHt/s4Y=")</f>
        <v>#VALUE!</v>
      </c>
      <c r="EF21" t="e">
        <f>AND('Data Extract File Ty'!D201,"AAAAAHt/s4c=")</f>
        <v>#VALUE!</v>
      </c>
      <c r="EG21">
        <f>IF('Data Extract File Ty'!202:202,"AAAAAHt/s4g=",0)</f>
        <v>0</v>
      </c>
      <c r="EH21" t="e">
        <f>AND('Data Extract File Ty'!A202,"AAAAAHt/s4k=")</f>
        <v>#VALUE!</v>
      </c>
      <c r="EI21" t="e">
        <f>AND('Data Extract File Ty'!B202,"AAAAAHt/s4o=")</f>
        <v>#VALUE!</v>
      </c>
      <c r="EJ21" t="e">
        <f>AND('Data Extract File Ty'!C202,"AAAAAHt/s4s=")</f>
        <v>#VALUE!</v>
      </c>
      <c r="EK21" t="e">
        <f>AND('Data Extract File Ty'!D202,"AAAAAHt/s4w=")</f>
        <v>#VALUE!</v>
      </c>
      <c r="EL21">
        <f>IF('Data Extract File Ty'!203:203,"AAAAAHt/s40=",0)</f>
        <v>0</v>
      </c>
      <c r="EM21" t="e">
        <f>AND('Data Extract File Ty'!A203,"AAAAAHt/s44=")</f>
        <v>#VALUE!</v>
      </c>
      <c r="EN21" t="e">
        <f>AND('Data Extract File Ty'!B203,"AAAAAHt/s48=")</f>
        <v>#VALUE!</v>
      </c>
      <c r="EO21" t="e">
        <f>AND('Data Extract File Ty'!C203,"AAAAAHt/s5A=")</f>
        <v>#VALUE!</v>
      </c>
      <c r="EP21" t="e">
        <f>AND('Data Extract File Ty'!D203,"AAAAAHt/s5E=")</f>
        <v>#VALUE!</v>
      </c>
      <c r="EQ21">
        <f>IF('Data Extract File Ty'!204:204,"AAAAAHt/s5I=",0)</f>
        <v>0</v>
      </c>
      <c r="ER21" t="e">
        <f>AND('Data Extract File Ty'!A204,"AAAAAHt/s5M=")</f>
        <v>#VALUE!</v>
      </c>
      <c r="ES21" t="e">
        <f>AND('Data Extract File Ty'!B204,"AAAAAHt/s5Q=")</f>
        <v>#VALUE!</v>
      </c>
      <c r="ET21" t="e">
        <f>AND('Data Extract File Ty'!C204,"AAAAAHt/s5U=")</f>
        <v>#VALUE!</v>
      </c>
      <c r="EU21" t="e">
        <f>AND('Data Extract File Ty'!D204,"AAAAAHt/s5Y=")</f>
        <v>#VALUE!</v>
      </c>
      <c r="EV21">
        <f>IF('Data Extract File Ty'!205:205,"AAAAAHt/s5c=",0)</f>
        <v>0</v>
      </c>
      <c r="EW21" t="e">
        <f>AND('Data Extract File Ty'!A205,"AAAAAHt/s5g=")</f>
        <v>#VALUE!</v>
      </c>
      <c r="EX21" t="e">
        <f>AND('Data Extract File Ty'!B205,"AAAAAHt/s5k=")</f>
        <v>#VALUE!</v>
      </c>
      <c r="EY21" t="e">
        <f>AND('Data Extract File Ty'!C205,"AAAAAHt/s5o=")</f>
        <v>#VALUE!</v>
      </c>
      <c r="EZ21" t="e">
        <f>AND('Data Extract File Ty'!D205,"AAAAAHt/s5s=")</f>
        <v>#VALUE!</v>
      </c>
      <c r="FA21">
        <f>IF('Data Extract File Ty'!206:206,"AAAAAHt/s5w=",0)</f>
        <v>0</v>
      </c>
      <c r="FB21" t="e">
        <f>AND('Data Extract File Ty'!A206,"AAAAAHt/s50=")</f>
        <v>#VALUE!</v>
      </c>
      <c r="FC21" t="e">
        <f>AND('Data Extract File Ty'!B206,"AAAAAHt/s54=")</f>
        <v>#VALUE!</v>
      </c>
      <c r="FD21" t="e">
        <f>AND('Data Extract File Ty'!C206,"AAAAAHt/s58=")</f>
        <v>#VALUE!</v>
      </c>
      <c r="FE21" t="e">
        <f>AND('Data Extract File Ty'!D206,"AAAAAHt/s6A=")</f>
        <v>#VALUE!</v>
      </c>
      <c r="FF21">
        <f>IF('Data Extract File Ty'!207:207,"AAAAAHt/s6E=",0)</f>
        <v>0</v>
      </c>
      <c r="FG21" t="e">
        <f>AND('Data Extract File Ty'!A207,"AAAAAHt/s6I=")</f>
        <v>#VALUE!</v>
      </c>
      <c r="FH21" t="e">
        <f>AND('Data Extract File Ty'!B207,"AAAAAHt/s6M=")</f>
        <v>#VALUE!</v>
      </c>
      <c r="FI21" t="e">
        <f>AND('Data Extract File Ty'!C207,"AAAAAHt/s6Q=")</f>
        <v>#VALUE!</v>
      </c>
      <c r="FJ21" t="e">
        <f>AND('Data Extract File Ty'!D207,"AAAAAHt/s6U=")</f>
        <v>#VALUE!</v>
      </c>
      <c r="FK21">
        <f>IF('Data Extract File Ty'!208:208,"AAAAAHt/s6Y=",0)</f>
        <v>0</v>
      </c>
      <c r="FL21" t="e">
        <f>AND('Data Extract File Ty'!A208,"AAAAAHt/s6c=")</f>
        <v>#VALUE!</v>
      </c>
      <c r="FM21" t="e">
        <f>AND('Data Extract File Ty'!B208,"AAAAAHt/s6g=")</f>
        <v>#VALUE!</v>
      </c>
      <c r="FN21" t="e">
        <f>AND('Data Extract File Ty'!C208,"AAAAAHt/s6k=")</f>
        <v>#VALUE!</v>
      </c>
      <c r="FO21" t="e">
        <f>AND('Data Extract File Ty'!D208,"AAAAAHt/s6o=")</f>
        <v>#VALUE!</v>
      </c>
      <c r="FP21">
        <f>IF('Data Extract File Ty'!209:209,"AAAAAHt/s6s=",0)</f>
        <v>0</v>
      </c>
      <c r="FQ21" t="e">
        <f>AND('Data Extract File Ty'!A209,"AAAAAHt/s6w=")</f>
        <v>#VALUE!</v>
      </c>
      <c r="FR21" t="e">
        <f>AND('Data Extract File Ty'!B209,"AAAAAHt/s60=")</f>
        <v>#VALUE!</v>
      </c>
      <c r="FS21" t="e">
        <f>AND('Data Extract File Ty'!C209,"AAAAAHt/s64=")</f>
        <v>#VALUE!</v>
      </c>
      <c r="FT21" t="e">
        <f>AND('Data Extract File Ty'!D209,"AAAAAHt/s68=")</f>
        <v>#VALUE!</v>
      </c>
      <c r="FU21">
        <f>IF('Data Extract File Ty'!210:210,"AAAAAHt/s7A=",0)</f>
        <v>0</v>
      </c>
      <c r="FV21" t="e">
        <f>AND('Data Extract File Ty'!A210,"AAAAAHt/s7E=")</f>
        <v>#VALUE!</v>
      </c>
      <c r="FW21" t="e">
        <f>AND('Data Extract File Ty'!B210,"AAAAAHt/s7I=")</f>
        <v>#VALUE!</v>
      </c>
      <c r="FX21" t="e">
        <f>AND('Data Extract File Ty'!C210,"AAAAAHt/s7M=")</f>
        <v>#VALUE!</v>
      </c>
      <c r="FY21" t="e">
        <f>AND('Data Extract File Ty'!D210,"AAAAAHt/s7Q=")</f>
        <v>#VALUE!</v>
      </c>
      <c r="FZ21">
        <f>IF('Data Extract File Ty'!211:211,"AAAAAHt/s7U=",0)</f>
        <v>0</v>
      </c>
      <c r="GA21" t="e">
        <f>AND('Data Extract File Ty'!A211,"AAAAAHt/s7Y=")</f>
        <v>#VALUE!</v>
      </c>
      <c r="GB21" t="e">
        <f>AND('Data Extract File Ty'!B211,"AAAAAHt/s7c=")</f>
        <v>#VALUE!</v>
      </c>
      <c r="GC21" t="e">
        <f>AND('Data Extract File Ty'!C211,"AAAAAHt/s7g=")</f>
        <v>#VALUE!</v>
      </c>
      <c r="GD21" t="e">
        <f>AND('Data Extract File Ty'!D211,"AAAAAHt/s7k=")</f>
        <v>#VALUE!</v>
      </c>
      <c r="GE21">
        <f>IF('Data Extract File Ty'!212:212,"AAAAAHt/s7o=",0)</f>
        <v>0</v>
      </c>
      <c r="GF21" t="e">
        <f>AND('Data Extract File Ty'!A212,"AAAAAHt/s7s=")</f>
        <v>#VALUE!</v>
      </c>
      <c r="GG21" t="e">
        <f>AND('Data Extract File Ty'!B212,"AAAAAHt/s7w=")</f>
        <v>#VALUE!</v>
      </c>
      <c r="GH21" t="e">
        <f>AND('Data Extract File Ty'!C212,"AAAAAHt/s70=")</f>
        <v>#VALUE!</v>
      </c>
      <c r="GI21" t="e">
        <f>AND('Data Extract File Ty'!D212,"AAAAAHt/s74=")</f>
        <v>#VALUE!</v>
      </c>
      <c r="GJ21">
        <f>IF('Data Extract File Ty'!213:213,"AAAAAHt/s78=",0)</f>
        <v>0</v>
      </c>
      <c r="GK21" t="e">
        <f>AND('Data Extract File Ty'!A213,"AAAAAHt/s8A=")</f>
        <v>#VALUE!</v>
      </c>
      <c r="GL21" t="e">
        <f>AND('Data Extract File Ty'!B213,"AAAAAHt/s8E=")</f>
        <v>#VALUE!</v>
      </c>
      <c r="GM21" t="e">
        <f>AND('Data Extract File Ty'!C213,"AAAAAHt/s8I=")</f>
        <v>#VALUE!</v>
      </c>
      <c r="GN21" t="e">
        <f>AND('Data Extract File Ty'!D213,"AAAAAHt/s8M=")</f>
        <v>#VALUE!</v>
      </c>
      <c r="GO21">
        <f>IF('Data Extract File Ty'!214:214,"AAAAAHt/s8Q=",0)</f>
        <v>0</v>
      </c>
      <c r="GP21" t="e">
        <f>AND('Data Extract File Ty'!A214,"AAAAAHt/s8U=")</f>
        <v>#VALUE!</v>
      </c>
      <c r="GQ21" t="e">
        <f>AND('Data Extract File Ty'!B214,"AAAAAHt/s8Y=")</f>
        <v>#VALUE!</v>
      </c>
      <c r="GR21" t="e">
        <f>AND('Data Extract File Ty'!C214,"AAAAAHt/s8c=")</f>
        <v>#VALUE!</v>
      </c>
      <c r="GS21" t="e">
        <f>AND('Data Extract File Ty'!D214,"AAAAAHt/s8g=")</f>
        <v>#VALUE!</v>
      </c>
      <c r="GT21">
        <f>IF('Data Extract File Ty'!215:215,"AAAAAHt/s8k=",0)</f>
        <v>0</v>
      </c>
      <c r="GU21" t="e">
        <f>AND('Data Extract File Ty'!A215,"AAAAAHt/s8o=")</f>
        <v>#VALUE!</v>
      </c>
      <c r="GV21" t="e">
        <f>AND('Data Extract File Ty'!B215,"AAAAAHt/s8s=")</f>
        <v>#VALUE!</v>
      </c>
      <c r="GW21" t="e">
        <f>AND('Data Extract File Ty'!C215,"AAAAAHt/s8w=")</f>
        <v>#VALUE!</v>
      </c>
      <c r="GX21" t="e">
        <f>AND('Data Extract File Ty'!D215,"AAAAAHt/s80=")</f>
        <v>#VALUE!</v>
      </c>
      <c r="GY21">
        <f>IF('Data Extract File Ty'!216:216,"AAAAAHt/s84=",0)</f>
        <v>0</v>
      </c>
      <c r="GZ21" t="e">
        <f>AND('Data Extract File Ty'!A216,"AAAAAHt/s88=")</f>
        <v>#VALUE!</v>
      </c>
      <c r="HA21" t="e">
        <f>AND('Data Extract File Ty'!B216,"AAAAAHt/s9A=")</f>
        <v>#VALUE!</v>
      </c>
      <c r="HB21" t="e">
        <f>AND('Data Extract File Ty'!C216,"AAAAAHt/s9E=")</f>
        <v>#VALUE!</v>
      </c>
      <c r="HC21" t="e">
        <f>AND('Data Extract File Ty'!D216,"AAAAAHt/s9I=")</f>
        <v>#VALUE!</v>
      </c>
      <c r="HD21">
        <f>IF('Data Extract File Ty'!217:217,"AAAAAHt/s9M=",0)</f>
        <v>0</v>
      </c>
      <c r="HE21" t="e">
        <f>AND('Data Extract File Ty'!A217,"AAAAAHt/s9Q=")</f>
        <v>#VALUE!</v>
      </c>
      <c r="HF21" t="e">
        <f>AND('Data Extract File Ty'!B217,"AAAAAHt/s9U=")</f>
        <v>#VALUE!</v>
      </c>
      <c r="HG21" t="e">
        <f>AND('Data Extract File Ty'!C217,"AAAAAHt/s9Y=")</f>
        <v>#VALUE!</v>
      </c>
      <c r="HH21" t="e">
        <f>AND('Data Extract File Ty'!D217,"AAAAAHt/s9c=")</f>
        <v>#VALUE!</v>
      </c>
      <c r="HI21">
        <f>IF('Data Extract File Ty'!218:218,"AAAAAHt/s9g=",0)</f>
        <v>0</v>
      </c>
      <c r="HJ21" t="e">
        <f>AND('Data Extract File Ty'!A218,"AAAAAHt/s9k=")</f>
        <v>#VALUE!</v>
      </c>
      <c r="HK21" t="e">
        <f>AND('Data Extract File Ty'!B218,"AAAAAHt/s9o=")</f>
        <v>#VALUE!</v>
      </c>
      <c r="HL21" t="e">
        <f>AND('Data Extract File Ty'!C218,"AAAAAHt/s9s=")</f>
        <v>#VALUE!</v>
      </c>
      <c r="HM21" t="e">
        <f>AND('Data Extract File Ty'!D218,"AAAAAHt/s9w=")</f>
        <v>#VALUE!</v>
      </c>
      <c r="HN21">
        <f>IF('Data Extract File Ty'!219:219,"AAAAAHt/s90=",0)</f>
        <v>0</v>
      </c>
      <c r="HO21" t="e">
        <f>AND('Data Extract File Ty'!A219,"AAAAAHt/s94=")</f>
        <v>#VALUE!</v>
      </c>
      <c r="HP21" t="e">
        <f>AND('Data Extract File Ty'!B219,"AAAAAHt/s98=")</f>
        <v>#VALUE!</v>
      </c>
      <c r="HQ21" t="e">
        <f>AND('Data Extract File Ty'!C219,"AAAAAHt/s+A=")</f>
        <v>#VALUE!</v>
      </c>
      <c r="HR21" t="e">
        <f>AND('Data Extract File Ty'!D219,"AAAAAHt/s+E=")</f>
        <v>#VALUE!</v>
      </c>
      <c r="HS21">
        <f>IF('Data Extract File Ty'!220:220,"AAAAAHt/s+I=",0)</f>
        <v>0</v>
      </c>
      <c r="HT21" t="e">
        <f>AND('Data Extract File Ty'!A220,"AAAAAHt/s+M=")</f>
        <v>#VALUE!</v>
      </c>
      <c r="HU21" t="e">
        <f>AND('Data Extract File Ty'!B220,"AAAAAHt/s+Q=")</f>
        <v>#VALUE!</v>
      </c>
      <c r="HV21" t="e">
        <f>AND('Data Extract File Ty'!C220,"AAAAAHt/s+U=")</f>
        <v>#VALUE!</v>
      </c>
      <c r="HW21" t="e">
        <f>AND('Data Extract File Ty'!D220,"AAAAAHt/s+Y=")</f>
        <v>#VALUE!</v>
      </c>
      <c r="HX21">
        <f>IF('Data Extract File Ty'!221:221,"AAAAAHt/s+c=",0)</f>
        <v>0</v>
      </c>
      <c r="HY21" t="e">
        <f>AND('Data Extract File Ty'!A221,"AAAAAHt/s+g=")</f>
        <v>#VALUE!</v>
      </c>
      <c r="HZ21" t="e">
        <f>AND('Data Extract File Ty'!B221,"AAAAAHt/s+k=")</f>
        <v>#VALUE!</v>
      </c>
      <c r="IA21" t="e">
        <f>AND('Data Extract File Ty'!C221,"AAAAAHt/s+o=")</f>
        <v>#VALUE!</v>
      </c>
      <c r="IB21" t="e">
        <f>AND('Data Extract File Ty'!D221,"AAAAAHt/s+s=")</f>
        <v>#VALUE!</v>
      </c>
      <c r="IC21">
        <f>IF('Data Extract File Ty'!222:222,"AAAAAHt/s+w=",0)</f>
        <v>0</v>
      </c>
      <c r="ID21" t="e">
        <f>AND('Data Extract File Ty'!A222,"AAAAAHt/s+0=")</f>
        <v>#VALUE!</v>
      </c>
      <c r="IE21" t="e">
        <f>AND('Data Extract File Ty'!B222,"AAAAAHt/s+4=")</f>
        <v>#VALUE!</v>
      </c>
      <c r="IF21" t="e">
        <f>AND('Data Extract File Ty'!C222,"AAAAAHt/s+8=")</f>
        <v>#VALUE!</v>
      </c>
      <c r="IG21" t="e">
        <f>AND('Data Extract File Ty'!D222,"AAAAAHt/s/A=")</f>
        <v>#VALUE!</v>
      </c>
      <c r="IH21">
        <f>IF('Data Extract File Ty'!223:223,"AAAAAHt/s/E=",0)</f>
        <v>0</v>
      </c>
      <c r="II21" t="e">
        <f>AND('Data Extract File Ty'!A223,"AAAAAHt/s/I=")</f>
        <v>#VALUE!</v>
      </c>
      <c r="IJ21" t="e">
        <f>AND('Data Extract File Ty'!B223,"AAAAAHt/s/M=")</f>
        <v>#VALUE!</v>
      </c>
      <c r="IK21" t="e">
        <f>AND('Data Extract File Ty'!C223,"AAAAAHt/s/Q=")</f>
        <v>#VALUE!</v>
      </c>
      <c r="IL21" t="e">
        <f>AND('Data Extract File Ty'!D223,"AAAAAHt/s/U=")</f>
        <v>#VALUE!</v>
      </c>
      <c r="IM21">
        <f>IF('Data Extract File Ty'!224:224,"AAAAAHt/s/Y=",0)</f>
        <v>0</v>
      </c>
      <c r="IN21" t="e">
        <f>AND('Data Extract File Ty'!A224,"AAAAAHt/s/c=")</f>
        <v>#VALUE!</v>
      </c>
      <c r="IO21" t="e">
        <f>AND('Data Extract File Ty'!B224,"AAAAAHt/s/g=")</f>
        <v>#VALUE!</v>
      </c>
      <c r="IP21" t="e">
        <f>AND('Data Extract File Ty'!C224,"AAAAAHt/s/k=")</f>
        <v>#VALUE!</v>
      </c>
      <c r="IQ21" t="e">
        <f>AND('Data Extract File Ty'!D224,"AAAAAHt/s/o=")</f>
        <v>#VALUE!</v>
      </c>
      <c r="IR21">
        <f>IF('Data Extract File Ty'!225:225,"AAAAAHt/s/s=",0)</f>
        <v>0</v>
      </c>
      <c r="IS21" t="e">
        <f>AND('Data Extract File Ty'!A225,"AAAAAHt/s/w=")</f>
        <v>#VALUE!</v>
      </c>
      <c r="IT21" t="e">
        <f>AND('Data Extract File Ty'!B225,"AAAAAHt/s/0=")</f>
        <v>#VALUE!</v>
      </c>
      <c r="IU21" t="e">
        <f>AND('Data Extract File Ty'!C225,"AAAAAHt/s/4=")</f>
        <v>#VALUE!</v>
      </c>
      <c r="IV21" t="e">
        <f>AND('Data Extract File Ty'!D225,"AAAAAHt/s/8=")</f>
        <v>#VALUE!</v>
      </c>
    </row>
    <row r="22" spans="1:256" x14ac:dyDescent="0.2">
      <c r="A22" t="e">
        <f>IF('Data Extract File Ty'!226:226,"AAAAAF51/gA=",0)</f>
        <v>#VALUE!</v>
      </c>
      <c r="B22" t="e">
        <f>AND('Data Extract File Ty'!A226,"AAAAAF51/gE=")</f>
        <v>#VALUE!</v>
      </c>
      <c r="C22" t="e">
        <f>AND('Data Extract File Ty'!B226,"AAAAAF51/gI=")</f>
        <v>#VALUE!</v>
      </c>
      <c r="D22" t="e">
        <f>AND('Data Extract File Ty'!C226,"AAAAAF51/gM=")</f>
        <v>#VALUE!</v>
      </c>
      <c r="E22" t="e">
        <f>AND('Data Extract File Ty'!D226,"AAAAAF51/gQ=")</f>
        <v>#VALUE!</v>
      </c>
      <c r="F22">
        <f>IF('Data Extract File Ty'!227:227,"AAAAAF51/gU=",0)</f>
        <v>0</v>
      </c>
      <c r="G22" t="e">
        <f>AND('Data Extract File Ty'!A227,"AAAAAF51/gY=")</f>
        <v>#VALUE!</v>
      </c>
      <c r="H22" t="e">
        <f>AND('Data Extract File Ty'!B227,"AAAAAF51/gc=")</f>
        <v>#VALUE!</v>
      </c>
      <c r="I22" t="e">
        <f>AND('Data Extract File Ty'!C227,"AAAAAF51/gg=")</f>
        <v>#VALUE!</v>
      </c>
      <c r="J22" t="e">
        <f>AND('Data Extract File Ty'!D227,"AAAAAF51/gk=")</f>
        <v>#VALUE!</v>
      </c>
      <c r="K22">
        <f>IF('Data Extract File Ty'!228:228,"AAAAAF51/go=",0)</f>
        <v>0</v>
      </c>
      <c r="L22" t="e">
        <f>AND('Data Extract File Ty'!A228,"AAAAAF51/gs=")</f>
        <v>#VALUE!</v>
      </c>
      <c r="M22" t="e">
        <f>AND('Data Extract File Ty'!B228,"AAAAAF51/gw=")</f>
        <v>#VALUE!</v>
      </c>
      <c r="N22" t="e">
        <f>AND('Data Extract File Ty'!C228,"AAAAAF51/g0=")</f>
        <v>#VALUE!</v>
      </c>
      <c r="O22" t="e">
        <f>AND('Data Extract File Ty'!D228,"AAAAAF51/g4=")</f>
        <v>#VALUE!</v>
      </c>
      <c r="P22">
        <f>IF('Data Extract File Ty'!229:229,"AAAAAF51/g8=",0)</f>
        <v>0</v>
      </c>
      <c r="Q22" t="e">
        <f>AND('Data Extract File Ty'!A229,"AAAAAF51/hA=")</f>
        <v>#VALUE!</v>
      </c>
      <c r="R22" t="e">
        <f>AND('Data Extract File Ty'!B229,"AAAAAF51/hE=")</f>
        <v>#VALUE!</v>
      </c>
      <c r="S22" t="e">
        <f>AND('Data Extract File Ty'!C229,"AAAAAF51/hI=")</f>
        <v>#VALUE!</v>
      </c>
      <c r="T22" t="e">
        <f>AND('Data Extract File Ty'!D229,"AAAAAF51/hM=")</f>
        <v>#VALUE!</v>
      </c>
      <c r="U22">
        <f>IF('Data Extract File Ty'!230:230,"AAAAAF51/hQ=",0)</f>
        <v>0</v>
      </c>
      <c r="V22" t="e">
        <f>AND('Data Extract File Ty'!A230,"AAAAAF51/hU=")</f>
        <v>#VALUE!</v>
      </c>
      <c r="W22" t="e">
        <f>AND('Data Extract File Ty'!B230,"AAAAAF51/hY=")</f>
        <v>#VALUE!</v>
      </c>
      <c r="X22" t="e">
        <f>AND('Data Extract File Ty'!C230,"AAAAAF51/hc=")</f>
        <v>#VALUE!</v>
      </c>
      <c r="Y22" t="e">
        <f>AND('Data Extract File Ty'!D230,"AAAAAF51/hg=")</f>
        <v>#VALUE!</v>
      </c>
      <c r="Z22">
        <f>IF('Data Extract File Ty'!231:231,"AAAAAF51/hk=",0)</f>
        <v>0</v>
      </c>
      <c r="AA22" t="e">
        <f>AND('Data Extract File Ty'!A231,"AAAAAF51/ho=")</f>
        <v>#VALUE!</v>
      </c>
      <c r="AB22" t="e">
        <f>AND('Data Extract File Ty'!B231,"AAAAAF51/hs=")</f>
        <v>#VALUE!</v>
      </c>
      <c r="AC22" t="e">
        <f>AND('Data Extract File Ty'!C231,"AAAAAF51/hw=")</f>
        <v>#VALUE!</v>
      </c>
      <c r="AD22" t="e">
        <f>AND('Data Extract File Ty'!D231,"AAAAAF51/h0=")</f>
        <v>#VALUE!</v>
      </c>
      <c r="AE22">
        <f>IF('Data Extract File Ty'!232:232,"AAAAAF51/h4=",0)</f>
        <v>0</v>
      </c>
      <c r="AF22" t="e">
        <f>AND('Data Extract File Ty'!A232,"AAAAAF51/h8=")</f>
        <v>#VALUE!</v>
      </c>
      <c r="AG22" t="e">
        <f>AND('Data Extract File Ty'!B232,"AAAAAF51/iA=")</f>
        <v>#VALUE!</v>
      </c>
      <c r="AH22" t="e">
        <f>AND('Data Extract File Ty'!C232,"AAAAAF51/iE=")</f>
        <v>#VALUE!</v>
      </c>
      <c r="AI22" t="e">
        <f>AND('Data Extract File Ty'!D232,"AAAAAF51/iI=")</f>
        <v>#VALUE!</v>
      </c>
      <c r="AJ22">
        <f>IF('Data Extract File Ty'!233:233,"AAAAAF51/iM=",0)</f>
        <v>0</v>
      </c>
      <c r="AK22" t="e">
        <f>AND('Data Extract File Ty'!A233,"AAAAAF51/iQ=")</f>
        <v>#VALUE!</v>
      </c>
      <c r="AL22" t="e">
        <f>AND('Data Extract File Ty'!B233,"AAAAAF51/iU=")</f>
        <v>#VALUE!</v>
      </c>
      <c r="AM22" t="e">
        <f>AND('Data Extract File Ty'!C233,"AAAAAF51/iY=")</f>
        <v>#VALUE!</v>
      </c>
      <c r="AN22" t="e">
        <f>AND('Data Extract File Ty'!D233,"AAAAAF51/ic=")</f>
        <v>#VALUE!</v>
      </c>
      <c r="AO22">
        <f>IF('Data Extract File Ty'!234:234,"AAAAAF51/ig=",0)</f>
        <v>0</v>
      </c>
      <c r="AP22" t="e">
        <f>AND('Data Extract File Ty'!A234,"AAAAAF51/ik=")</f>
        <v>#VALUE!</v>
      </c>
      <c r="AQ22" t="e">
        <f>AND('Data Extract File Ty'!B234,"AAAAAF51/io=")</f>
        <v>#VALUE!</v>
      </c>
      <c r="AR22" t="e">
        <f>AND('Data Extract File Ty'!C234,"AAAAAF51/is=")</f>
        <v>#VALUE!</v>
      </c>
      <c r="AS22" t="e">
        <f>AND('Data Extract File Ty'!D234,"AAAAAF51/iw=")</f>
        <v>#VALUE!</v>
      </c>
      <c r="AT22">
        <f>IF('Data Extract File Ty'!235:235,"AAAAAF51/i0=",0)</f>
        <v>0</v>
      </c>
      <c r="AU22" t="e">
        <f>AND('Data Extract File Ty'!A235,"AAAAAF51/i4=")</f>
        <v>#VALUE!</v>
      </c>
      <c r="AV22" t="e">
        <f>AND('Data Extract File Ty'!B235,"AAAAAF51/i8=")</f>
        <v>#VALUE!</v>
      </c>
      <c r="AW22" t="e">
        <f>AND('Data Extract File Ty'!C235,"AAAAAF51/jA=")</f>
        <v>#VALUE!</v>
      </c>
      <c r="AX22" t="e">
        <f>AND('Data Extract File Ty'!D235,"AAAAAF51/jE=")</f>
        <v>#VALUE!</v>
      </c>
      <c r="AY22">
        <f>IF('Data Extract File Ty'!236:236,"AAAAAF51/jI=",0)</f>
        <v>0</v>
      </c>
      <c r="AZ22" t="e">
        <f>AND('Data Extract File Ty'!A236,"AAAAAF51/jM=")</f>
        <v>#VALUE!</v>
      </c>
      <c r="BA22" t="e">
        <f>AND('Data Extract File Ty'!B236,"AAAAAF51/jQ=")</f>
        <v>#VALUE!</v>
      </c>
      <c r="BB22" t="e">
        <f>AND('Data Extract File Ty'!C236,"AAAAAF51/jU=")</f>
        <v>#VALUE!</v>
      </c>
      <c r="BC22" t="e">
        <f>AND('Data Extract File Ty'!D236,"AAAAAF51/jY=")</f>
        <v>#VALUE!</v>
      </c>
      <c r="BD22">
        <f>IF('Data Extract File Ty'!237:237,"AAAAAF51/jc=",0)</f>
        <v>0</v>
      </c>
      <c r="BE22" t="e">
        <f>AND('Data Extract File Ty'!A237,"AAAAAF51/jg=")</f>
        <v>#VALUE!</v>
      </c>
      <c r="BF22" t="e">
        <f>AND('Data Extract File Ty'!B237,"AAAAAF51/jk=")</f>
        <v>#VALUE!</v>
      </c>
      <c r="BG22" t="e">
        <f>AND('Data Extract File Ty'!C237,"AAAAAF51/jo=")</f>
        <v>#VALUE!</v>
      </c>
      <c r="BH22" t="e">
        <f>AND('Data Extract File Ty'!D237,"AAAAAF51/js=")</f>
        <v>#VALUE!</v>
      </c>
      <c r="BI22">
        <f>IF('Data Extract File Ty'!238:238,"AAAAAF51/jw=",0)</f>
        <v>0</v>
      </c>
      <c r="BJ22" t="e">
        <f>AND('Data Extract File Ty'!A238,"AAAAAF51/j0=")</f>
        <v>#VALUE!</v>
      </c>
      <c r="BK22" t="e">
        <f>AND('Data Extract File Ty'!B238,"AAAAAF51/j4=")</f>
        <v>#VALUE!</v>
      </c>
      <c r="BL22" t="e">
        <f>AND('Data Extract File Ty'!C238,"AAAAAF51/j8=")</f>
        <v>#VALUE!</v>
      </c>
      <c r="BM22" t="e">
        <f>AND('Data Extract File Ty'!D238,"AAAAAF51/kA=")</f>
        <v>#VALUE!</v>
      </c>
      <c r="BN22">
        <f>IF('Data Extract File Ty'!239:239,"AAAAAF51/kE=",0)</f>
        <v>0</v>
      </c>
      <c r="BO22" t="e">
        <f>AND('Data Extract File Ty'!A239,"AAAAAF51/kI=")</f>
        <v>#VALUE!</v>
      </c>
      <c r="BP22" t="e">
        <f>AND('Data Extract File Ty'!B239,"AAAAAF51/kM=")</f>
        <v>#VALUE!</v>
      </c>
      <c r="BQ22" t="e">
        <f>AND('Data Extract File Ty'!C239,"AAAAAF51/kQ=")</f>
        <v>#VALUE!</v>
      </c>
      <c r="BR22" t="e">
        <f>AND('Data Extract File Ty'!D239,"AAAAAF51/kU=")</f>
        <v>#VALUE!</v>
      </c>
      <c r="BS22">
        <f>IF('Data Extract File Ty'!240:240,"AAAAAF51/kY=",0)</f>
        <v>0</v>
      </c>
      <c r="BT22" t="e">
        <f>AND('Data Extract File Ty'!A240,"AAAAAF51/kc=")</f>
        <v>#VALUE!</v>
      </c>
      <c r="BU22" t="e">
        <f>AND('Data Extract File Ty'!B240,"AAAAAF51/kg=")</f>
        <v>#VALUE!</v>
      </c>
      <c r="BV22" t="e">
        <f>AND('Data Extract File Ty'!C240,"AAAAAF51/kk=")</f>
        <v>#VALUE!</v>
      </c>
      <c r="BW22" t="e">
        <f>AND('Data Extract File Ty'!D240,"AAAAAF51/ko=")</f>
        <v>#VALUE!</v>
      </c>
      <c r="BX22">
        <f>IF('Data Extract File Ty'!241:241,"AAAAAF51/ks=",0)</f>
        <v>0</v>
      </c>
      <c r="BY22" t="e">
        <f>AND('Data Extract File Ty'!A241,"AAAAAF51/kw=")</f>
        <v>#VALUE!</v>
      </c>
      <c r="BZ22" t="e">
        <f>AND('Data Extract File Ty'!B241,"AAAAAF51/k0=")</f>
        <v>#VALUE!</v>
      </c>
      <c r="CA22" t="e">
        <f>AND('Data Extract File Ty'!C241,"AAAAAF51/k4=")</f>
        <v>#VALUE!</v>
      </c>
      <c r="CB22" t="e">
        <f>AND('Data Extract File Ty'!D241,"AAAAAF51/k8=")</f>
        <v>#VALUE!</v>
      </c>
      <c r="CC22">
        <f>IF('Data Extract File Ty'!242:242,"AAAAAF51/lA=",0)</f>
        <v>0</v>
      </c>
      <c r="CD22" t="e">
        <f>AND('Data Extract File Ty'!A242,"AAAAAF51/lE=")</f>
        <v>#VALUE!</v>
      </c>
      <c r="CE22" t="e">
        <f>AND('Data Extract File Ty'!B242,"AAAAAF51/lI=")</f>
        <v>#VALUE!</v>
      </c>
      <c r="CF22" t="e">
        <f>AND('Data Extract File Ty'!C242,"AAAAAF51/lM=")</f>
        <v>#VALUE!</v>
      </c>
      <c r="CG22" t="e">
        <f>AND('Data Extract File Ty'!D242,"AAAAAF51/lQ=")</f>
        <v>#VALUE!</v>
      </c>
      <c r="CH22">
        <f>IF('Data Extract File Ty'!243:243,"AAAAAF51/lU=",0)</f>
        <v>0</v>
      </c>
      <c r="CI22" t="e">
        <f>AND('Data Extract File Ty'!A243,"AAAAAF51/lY=")</f>
        <v>#VALUE!</v>
      </c>
      <c r="CJ22" t="e">
        <f>AND('Data Extract File Ty'!B243,"AAAAAF51/lc=")</f>
        <v>#VALUE!</v>
      </c>
      <c r="CK22" t="e">
        <f>AND('Data Extract File Ty'!C243,"AAAAAF51/lg=")</f>
        <v>#VALUE!</v>
      </c>
      <c r="CL22" t="e">
        <f>AND('Data Extract File Ty'!D243,"AAAAAF51/lk=")</f>
        <v>#VALUE!</v>
      </c>
      <c r="CM22">
        <f>IF('Data Extract File Ty'!244:244,"AAAAAF51/lo=",0)</f>
        <v>0</v>
      </c>
      <c r="CN22" t="e">
        <f>AND('Data Extract File Ty'!A244,"AAAAAF51/ls=")</f>
        <v>#VALUE!</v>
      </c>
      <c r="CO22" t="e">
        <f>AND('Data Extract File Ty'!B244,"AAAAAF51/lw=")</f>
        <v>#VALUE!</v>
      </c>
      <c r="CP22" t="e">
        <f>AND('Data Extract File Ty'!C244,"AAAAAF51/l0=")</f>
        <v>#VALUE!</v>
      </c>
      <c r="CQ22" t="e">
        <f>AND('Data Extract File Ty'!D244,"AAAAAF51/l4=")</f>
        <v>#VALUE!</v>
      </c>
      <c r="CR22">
        <f>IF('Data Extract File Ty'!245:245,"AAAAAF51/l8=",0)</f>
        <v>0</v>
      </c>
      <c r="CS22" t="e">
        <f>AND('Data Extract File Ty'!A245,"AAAAAF51/mA=")</f>
        <v>#VALUE!</v>
      </c>
      <c r="CT22" t="e">
        <f>AND('Data Extract File Ty'!B245,"AAAAAF51/mE=")</f>
        <v>#VALUE!</v>
      </c>
      <c r="CU22" t="e">
        <f>AND('Data Extract File Ty'!C245,"AAAAAF51/mI=")</f>
        <v>#VALUE!</v>
      </c>
      <c r="CV22" t="e">
        <f>AND('Data Extract File Ty'!D245,"AAAAAF51/mM=")</f>
        <v>#VALUE!</v>
      </c>
      <c r="CW22">
        <f>IF('Data Extract File Ty'!246:246,"AAAAAF51/mQ=",0)</f>
        <v>0</v>
      </c>
      <c r="CX22" t="e">
        <f>AND('Data Extract File Ty'!A246,"AAAAAF51/mU=")</f>
        <v>#VALUE!</v>
      </c>
      <c r="CY22" t="e">
        <f>AND('Data Extract File Ty'!B246,"AAAAAF51/mY=")</f>
        <v>#VALUE!</v>
      </c>
      <c r="CZ22" t="e">
        <f>AND('Data Extract File Ty'!C246,"AAAAAF51/mc=")</f>
        <v>#VALUE!</v>
      </c>
      <c r="DA22" t="e">
        <f>AND('Data Extract File Ty'!D246,"AAAAAF51/mg=")</f>
        <v>#VALUE!</v>
      </c>
      <c r="DB22">
        <f>IF('Data Extract File Ty'!247:247,"AAAAAF51/mk=",0)</f>
        <v>0</v>
      </c>
      <c r="DC22" t="e">
        <f>AND('Data Extract File Ty'!A247,"AAAAAF51/mo=")</f>
        <v>#VALUE!</v>
      </c>
      <c r="DD22" t="e">
        <f>AND('Data Extract File Ty'!B247,"AAAAAF51/ms=")</f>
        <v>#VALUE!</v>
      </c>
      <c r="DE22" t="e">
        <f>AND('Data Extract File Ty'!C247,"AAAAAF51/mw=")</f>
        <v>#VALUE!</v>
      </c>
      <c r="DF22" t="e">
        <f>AND('Data Extract File Ty'!D247,"AAAAAF51/m0=")</f>
        <v>#VALUE!</v>
      </c>
      <c r="DG22">
        <f>IF('Data Extract File Ty'!248:248,"AAAAAF51/m4=",0)</f>
        <v>0</v>
      </c>
      <c r="DH22" t="e">
        <f>AND('Data Extract File Ty'!A248,"AAAAAF51/m8=")</f>
        <v>#VALUE!</v>
      </c>
      <c r="DI22" t="e">
        <f>AND('Data Extract File Ty'!B248,"AAAAAF51/nA=")</f>
        <v>#VALUE!</v>
      </c>
      <c r="DJ22" t="e">
        <f>AND('Data Extract File Ty'!C248,"AAAAAF51/nE=")</f>
        <v>#VALUE!</v>
      </c>
      <c r="DK22" t="e">
        <f>AND('Data Extract File Ty'!D248,"AAAAAF51/nI=")</f>
        <v>#VALUE!</v>
      </c>
      <c r="DL22">
        <f>IF('Data Extract File Ty'!249:249,"AAAAAF51/nM=",0)</f>
        <v>0</v>
      </c>
      <c r="DM22" t="e">
        <f>AND('Data Extract File Ty'!A249,"AAAAAF51/nQ=")</f>
        <v>#VALUE!</v>
      </c>
      <c r="DN22" t="e">
        <f>AND('Data Extract File Ty'!B249,"AAAAAF51/nU=")</f>
        <v>#VALUE!</v>
      </c>
      <c r="DO22" t="e">
        <f>AND('Data Extract File Ty'!C249,"AAAAAF51/nY=")</f>
        <v>#VALUE!</v>
      </c>
      <c r="DP22" t="e">
        <f>AND('Data Extract File Ty'!D249,"AAAAAF51/nc=")</f>
        <v>#VALUE!</v>
      </c>
      <c r="DQ22">
        <f>IF('Data Extract File Ty'!250:250,"AAAAAF51/ng=",0)</f>
        <v>0</v>
      </c>
      <c r="DR22" t="e">
        <f>AND('Data Extract File Ty'!A250,"AAAAAF51/nk=")</f>
        <v>#VALUE!</v>
      </c>
      <c r="DS22" t="e">
        <f>AND('Data Extract File Ty'!B250,"AAAAAF51/no=")</f>
        <v>#VALUE!</v>
      </c>
      <c r="DT22" t="e">
        <f>AND('Data Extract File Ty'!C250,"AAAAAF51/ns=")</f>
        <v>#VALUE!</v>
      </c>
      <c r="DU22" t="e">
        <f>AND('Data Extract File Ty'!D250,"AAAAAF51/nw=")</f>
        <v>#VALUE!</v>
      </c>
      <c r="DV22">
        <f>IF('Data Extract File Ty'!251:251,"AAAAAF51/n0=",0)</f>
        <v>0</v>
      </c>
      <c r="DW22" t="e">
        <f>AND('Data Extract File Ty'!A251,"AAAAAF51/n4=")</f>
        <v>#VALUE!</v>
      </c>
      <c r="DX22" t="e">
        <f>AND('Data Extract File Ty'!B251,"AAAAAF51/n8=")</f>
        <v>#VALUE!</v>
      </c>
      <c r="DY22" t="e">
        <f>AND('Data Extract File Ty'!C251,"AAAAAF51/oA=")</f>
        <v>#VALUE!</v>
      </c>
      <c r="DZ22" t="e">
        <f>AND('Data Extract File Ty'!D251,"AAAAAF51/oE=")</f>
        <v>#VALUE!</v>
      </c>
      <c r="EA22">
        <f>IF('Data Extract File Ty'!252:252,"AAAAAF51/oI=",0)</f>
        <v>0</v>
      </c>
      <c r="EB22" t="e">
        <f>AND('Data Extract File Ty'!A252,"AAAAAF51/oM=")</f>
        <v>#VALUE!</v>
      </c>
      <c r="EC22" t="e">
        <f>AND('Data Extract File Ty'!B252,"AAAAAF51/oQ=")</f>
        <v>#VALUE!</v>
      </c>
      <c r="ED22" t="e">
        <f>AND('Data Extract File Ty'!C252,"AAAAAF51/oU=")</f>
        <v>#VALUE!</v>
      </c>
      <c r="EE22" t="e">
        <f>AND('Data Extract File Ty'!D252,"AAAAAF51/oY=")</f>
        <v>#VALUE!</v>
      </c>
      <c r="EF22">
        <f>IF('Data Extract File Ty'!253:253,"AAAAAF51/oc=",0)</f>
        <v>0</v>
      </c>
      <c r="EG22" t="e">
        <f>AND('Data Extract File Ty'!A253,"AAAAAF51/og=")</f>
        <v>#VALUE!</v>
      </c>
      <c r="EH22" t="e">
        <f>AND('Data Extract File Ty'!B253,"AAAAAF51/ok=")</f>
        <v>#VALUE!</v>
      </c>
      <c r="EI22" t="e">
        <f>AND('Data Extract File Ty'!C253,"AAAAAF51/oo=")</f>
        <v>#VALUE!</v>
      </c>
      <c r="EJ22" t="e">
        <f>AND('Data Extract File Ty'!D253,"AAAAAF51/os=")</f>
        <v>#VALUE!</v>
      </c>
      <c r="EK22">
        <f>IF('Data Extract File Ty'!254:254,"AAAAAF51/ow=",0)</f>
        <v>0</v>
      </c>
      <c r="EL22" t="e">
        <f>AND('Data Extract File Ty'!A254,"AAAAAF51/o0=")</f>
        <v>#VALUE!</v>
      </c>
      <c r="EM22" t="e">
        <f>AND('Data Extract File Ty'!B254,"AAAAAF51/o4=")</f>
        <v>#VALUE!</v>
      </c>
      <c r="EN22" t="e">
        <f>AND('Data Extract File Ty'!C254,"AAAAAF51/o8=")</f>
        <v>#VALUE!</v>
      </c>
      <c r="EO22" t="e">
        <f>AND('Data Extract File Ty'!D254,"AAAAAF51/pA=")</f>
        <v>#VALUE!</v>
      </c>
      <c r="EP22">
        <f>IF('Data Extract File Ty'!255:255,"AAAAAF51/pE=",0)</f>
        <v>0</v>
      </c>
      <c r="EQ22" t="e">
        <f>AND('Data Extract File Ty'!A255,"AAAAAF51/pI=")</f>
        <v>#VALUE!</v>
      </c>
      <c r="ER22" t="e">
        <f>AND('Data Extract File Ty'!B255,"AAAAAF51/pM=")</f>
        <v>#VALUE!</v>
      </c>
      <c r="ES22" t="e">
        <f>AND('Data Extract File Ty'!C255,"AAAAAF51/pQ=")</f>
        <v>#VALUE!</v>
      </c>
      <c r="ET22" t="e">
        <f>AND('Data Extract File Ty'!D255,"AAAAAF51/pU=")</f>
        <v>#VALUE!</v>
      </c>
      <c r="EU22">
        <f>IF('Data Extract File Ty'!256:256,"AAAAAF51/pY=",0)</f>
        <v>0</v>
      </c>
      <c r="EV22" t="e">
        <f>AND('Data Extract File Ty'!A256,"AAAAAF51/pc=")</f>
        <v>#VALUE!</v>
      </c>
      <c r="EW22" t="e">
        <f>AND('Data Extract File Ty'!B256,"AAAAAF51/pg=")</f>
        <v>#VALUE!</v>
      </c>
      <c r="EX22" t="e">
        <f>AND('Data Extract File Ty'!C256,"AAAAAF51/pk=")</f>
        <v>#VALUE!</v>
      </c>
      <c r="EY22" t="e">
        <f>AND('Data Extract File Ty'!D256,"AAAAAF51/po=")</f>
        <v>#VALUE!</v>
      </c>
      <c r="EZ22">
        <f>IF('Data Extract File Ty'!257:257,"AAAAAF51/ps=",0)</f>
        <v>0</v>
      </c>
      <c r="FA22" t="e">
        <f>AND('Data Extract File Ty'!A257,"AAAAAF51/pw=")</f>
        <v>#VALUE!</v>
      </c>
      <c r="FB22" t="e">
        <f>AND('Data Extract File Ty'!B257,"AAAAAF51/p0=")</f>
        <v>#VALUE!</v>
      </c>
      <c r="FC22" t="e">
        <f>AND('Data Extract File Ty'!C257,"AAAAAF51/p4=")</f>
        <v>#VALUE!</v>
      </c>
      <c r="FD22" t="e">
        <f>AND('Data Extract File Ty'!D257,"AAAAAF51/p8=")</f>
        <v>#VALUE!</v>
      </c>
      <c r="FE22">
        <f>IF('Data Extract File Ty'!258:258,"AAAAAF51/qA=",0)</f>
        <v>0</v>
      </c>
      <c r="FF22" t="e">
        <f>AND('Data Extract File Ty'!A258,"AAAAAF51/qE=")</f>
        <v>#VALUE!</v>
      </c>
      <c r="FG22" t="e">
        <f>AND('Data Extract File Ty'!B258,"AAAAAF51/qI=")</f>
        <v>#VALUE!</v>
      </c>
      <c r="FH22" t="e">
        <f>AND('Data Extract File Ty'!C258,"AAAAAF51/qM=")</f>
        <v>#VALUE!</v>
      </c>
      <c r="FI22" t="e">
        <f>AND('Data Extract File Ty'!D258,"AAAAAF51/qQ=")</f>
        <v>#VALUE!</v>
      </c>
      <c r="FJ22">
        <f>IF('Data Extract File Ty'!259:259,"AAAAAF51/qU=",0)</f>
        <v>0</v>
      </c>
      <c r="FK22" t="e">
        <f>AND('Data Extract File Ty'!A259,"AAAAAF51/qY=")</f>
        <v>#VALUE!</v>
      </c>
      <c r="FL22" t="e">
        <f>AND('Data Extract File Ty'!B259,"AAAAAF51/qc=")</f>
        <v>#VALUE!</v>
      </c>
      <c r="FM22" t="e">
        <f>AND('Data Extract File Ty'!C259,"AAAAAF51/qg=")</f>
        <v>#VALUE!</v>
      </c>
      <c r="FN22" t="e">
        <f>AND('Data Extract File Ty'!D259,"AAAAAF51/qk=")</f>
        <v>#VALUE!</v>
      </c>
      <c r="FO22">
        <f>IF('Data Extract File Ty'!260:260,"AAAAAF51/qo=",0)</f>
        <v>0</v>
      </c>
      <c r="FP22" t="e">
        <f>AND('Data Extract File Ty'!A260,"AAAAAF51/qs=")</f>
        <v>#VALUE!</v>
      </c>
      <c r="FQ22" t="e">
        <f>AND('Data Extract File Ty'!B260,"AAAAAF51/qw=")</f>
        <v>#VALUE!</v>
      </c>
      <c r="FR22" t="e">
        <f>AND('Data Extract File Ty'!C260,"AAAAAF51/q0=")</f>
        <v>#VALUE!</v>
      </c>
      <c r="FS22" t="e">
        <f>AND('Data Extract File Ty'!D260,"AAAAAF51/q4=")</f>
        <v>#VALUE!</v>
      </c>
      <c r="FT22">
        <f>IF('Data Extract File Ty'!261:261,"AAAAAF51/q8=",0)</f>
        <v>0</v>
      </c>
      <c r="FU22" t="e">
        <f>AND('Data Extract File Ty'!A261,"AAAAAF51/rA=")</f>
        <v>#VALUE!</v>
      </c>
      <c r="FV22" t="e">
        <f>AND('Data Extract File Ty'!B261,"AAAAAF51/rE=")</f>
        <v>#VALUE!</v>
      </c>
      <c r="FW22" t="e">
        <f>AND('Data Extract File Ty'!C261,"AAAAAF51/rI=")</f>
        <v>#VALUE!</v>
      </c>
      <c r="FX22" t="e">
        <f>AND('Data Extract File Ty'!D261,"AAAAAF51/rM=")</f>
        <v>#VALUE!</v>
      </c>
      <c r="FY22">
        <f>IF('Data Extract File Ty'!262:262,"AAAAAF51/rQ=",0)</f>
        <v>0</v>
      </c>
      <c r="FZ22" t="e">
        <f>AND('Data Extract File Ty'!A262,"AAAAAF51/rU=")</f>
        <v>#VALUE!</v>
      </c>
      <c r="GA22" t="e">
        <f>AND('Data Extract File Ty'!B262,"AAAAAF51/rY=")</f>
        <v>#VALUE!</v>
      </c>
      <c r="GB22" t="e">
        <f>AND('Data Extract File Ty'!C262,"AAAAAF51/rc=")</f>
        <v>#VALUE!</v>
      </c>
      <c r="GC22" t="e">
        <f>AND('Data Extract File Ty'!D262,"AAAAAF51/rg=")</f>
        <v>#VALUE!</v>
      </c>
      <c r="GD22">
        <f>IF('Data Extract File Ty'!263:263,"AAAAAF51/rk=",0)</f>
        <v>0</v>
      </c>
      <c r="GE22" t="e">
        <f>AND('Data Extract File Ty'!A263,"AAAAAF51/ro=")</f>
        <v>#VALUE!</v>
      </c>
      <c r="GF22" t="e">
        <f>AND('Data Extract File Ty'!B263,"AAAAAF51/rs=")</f>
        <v>#VALUE!</v>
      </c>
      <c r="GG22" t="e">
        <f>AND('Data Extract File Ty'!C263,"AAAAAF51/rw=")</f>
        <v>#VALUE!</v>
      </c>
      <c r="GH22" t="e">
        <f>AND('Data Extract File Ty'!D263,"AAAAAF51/r0=")</f>
        <v>#VALUE!</v>
      </c>
      <c r="GI22">
        <f>IF('Data Extract File Ty'!264:264,"AAAAAF51/r4=",0)</f>
        <v>0</v>
      </c>
      <c r="GJ22" t="e">
        <f>AND('Data Extract File Ty'!A264,"AAAAAF51/r8=")</f>
        <v>#VALUE!</v>
      </c>
      <c r="GK22" t="e">
        <f>AND('Data Extract File Ty'!B264,"AAAAAF51/sA=")</f>
        <v>#VALUE!</v>
      </c>
      <c r="GL22" t="e">
        <f>AND('Data Extract File Ty'!C264,"AAAAAF51/sE=")</f>
        <v>#VALUE!</v>
      </c>
      <c r="GM22" t="e">
        <f>AND('Data Extract File Ty'!D264,"AAAAAF51/sI=")</f>
        <v>#VALUE!</v>
      </c>
      <c r="GN22">
        <f>IF('Data Extract File Ty'!265:265,"AAAAAF51/sM=",0)</f>
        <v>0</v>
      </c>
      <c r="GO22" t="e">
        <f>AND('Data Extract File Ty'!A265,"AAAAAF51/sQ=")</f>
        <v>#VALUE!</v>
      </c>
      <c r="GP22" t="e">
        <f>AND('Data Extract File Ty'!B265,"AAAAAF51/sU=")</f>
        <v>#VALUE!</v>
      </c>
      <c r="GQ22" t="e">
        <f>AND('Data Extract File Ty'!C265,"AAAAAF51/sY=")</f>
        <v>#VALUE!</v>
      </c>
      <c r="GR22" t="e">
        <f>AND('Data Extract File Ty'!D265,"AAAAAF51/sc=")</f>
        <v>#VALUE!</v>
      </c>
      <c r="GS22">
        <f>IF('Data Extract File Ty'!266:266,"AAAAAF51/sg=",0)</f>
        <v>0</v>
      </c>
      <c r="GT22" t="e">
        <f>AND('Data Extract File Ty'!A266,"AAAAAF51/sk=")</f>
        <v>#VALUE!</v>
      </c>
      <c r="GU22" t="e">
        <f>AND('Data Extract File Ty'!B266,"AAAAAF51/so=")</f>
        <v>#VALUE!</v>
      </c>
      <c r="GV22" t="e">
        <f>AND('Data Extract File Ty'!C266,"AAAAAF51/ss=")</f>
        <v>#VALUE!</v>
      </c>
      <c r="GW22" t="e">
        <f>AND('Data Extract File Ty'!D266,"AAAAAF51/sw=")</f>
        <v>#VALUE!</v>
      </c>
      <c r="GX22">
        <f>IF('Data Extract File Ty'!267:267,"AAAAAF51/s0=",0)</f>
        <v>0</v>
      </c>
      <c r="GY22" t="e">
        <f>AND('Data Extract File Ty'!A267,"AAAAAF51/s4=")</f>
        <v>#VALUE!</v>
      </c>
      <c r="GZ22" t="e">
        <f>AND('Data Extract File Ty'!B267,"AAAAAF51/s8=")</f>
        <v>#VALUE!</v>
      </c>
      <c r="HA22" t="e">
        <f>AND('Data Extract File Ty'!C267,"AAAAAF51/tA=")</f>
        <v>#VALUE!</v>
      </c>
      <c r="HB22" t="e">
        <f>AND('Data Extract File Ty'!D267,"AAAAAF51/tE=")</f>
        <v>#VALUE!</v>
      </c>
      <c r="HC22">
        <f>IF('Data Extract File Ty'!268:268,"AAAAAF51/tI=",0)</f>
        <v>0</v>
      </c>
      <c r="HD22" t="e">
        <f>AND('Data Extract File Ty'!A268,"AAAAAF51/tM=")</f>
        <v>#VALUE!</v>
      </c>
      <c r="HE22" t="e">
        <f>AND('Data Extract File Ty'!B268,"AAAAAF51/tQ=")</f>
        <v>#VALUE!</v>
      </c>
      <c r="HF22" t="e">
        <f>AND('Data Extract File Ty'!C268,"AAAAAF51/tU=")</f>
        <v>#VALUE!</v>
      </c>
      <c r="HG22" t="e">
        <f>AND('Data Extract File Ty'!D268,"AAAAAF51/tY=")</f>
        <v>#VALUE!</v>
      </c>
      <c r="HH22">
        <f>IF('Data Extract File Ty'!269:269,"AAAAAF51/tc=",0)</f>
        <v>0</v>
      </c>
      <c r="HI22" t="e">
        <f>AND('Data Extract File Ty'!A269,"AAAAAF51/tg=")</f>
        <v>#VALUE!</v>
      </c>
      <c r="HJ22" t="e">
        <f>AND('Data Extract File Ty'!B269,"AAAAAF51/tk=")</f>
        <v>#VALUE!</v>
      </c>
      <c r="HK22" t="e">
        <f>AND('Data Extract File Ty'!C269,"AAAAAF51/to=")</f>
        <v>#VALUE!</v>
      </c>
      <c r="HL22" t="e">
        <f>AND('Data Extract File Ty'!D269,"AAAAAF51/ts=")</f>
        <v>#VALUE!</v>
      </c>
      <c r="HM22">
        <f>IF('Data Extract File Ty'!270:270,"AAAAAF51/tw=",0)</f>
        <v>0</v>
      </c>
      <c r="HN22" t="e">
        <f>AND('Data Extract File Ty'!A270,"AAAAAF51/t0=")</f>
        <v>#VALUE!</v>
      </c>
      <c r="HO22" t="e">
        <f>AND('Data Extract File Ty'!B270,"AAAAAF51/t4=")</f>
        <v>#VALUE!</v>
      </c>
      <c r="HP22" t="e">
        <f>AND('Data Extract File Ty'!C270,"AAAAAF51/t8=")</f>
        <v>#VALUE!</v>
      </c>
      <c r="HQ22" t="e">
        <f>AND('Data Extract File Ty'!D270,"AAAAAF51/uA=")</f>
        <v>#VALUE!</v>
      </c>
      <c r="HR22">
        <f>IF('Data Extract File Ty'!271:271,"AAAAAF51/uE=",0)</f>
        <v>0</v>
      </c>
      <c r="HS22" t="e">
        <f>AND('Data Extract File Ty'!A271,"AAAAAF51/uI=")</f>
        <v>#VALUE!</v>
      </c>
      <c r="HT22" t="e">
        <f>AND('Data Extract File Ty'!B271,"AAAAAF51/uM=")</f>
        <v>#VALUE!</v>
      </c>
      <c r="HU22" t="e">
        <f>AND('Data Extract File Ty'!C271,"AAAAAF51/uQ=")</f>
        <v>#VALUE!</v>
      </c>
      <c r="HV22" t="e">
        <f>AND('Data Extract File Ty'!D271,"AAAAAF51/uU=")</f>
        <v>#VALUE!</v>
      </c>
      <c r="HW22">
        <f>IF('Data Extract File Ty'!272:272,"AAAAAF51/uY=",0)</f>
        <v>0</v>
      </c>
      <c r="HX22" t="e">
        <f>AND('Data Extract File Ty'!A272,"AAAAAF51/uc=")</f>
        <v>#VALUE!</v>
      </c>
      <c r="HY22" t="e">
        <f>AND('Data Extract File Ty'!B272,"AAAAAF51/ug=")</f>
        <v>#VALUE!</v>
      </c>
      <c r="HZ22" t="e">
        <f>AND('Data Extract File Ty'!C272,"AAAAAF51/uk=")</f>
        <v>#VALUE!</v>
      </c>
      <c r="IA22" t="e">
        <f>AND('Data Extract File Ty'!D272,"AAAAAF51/uo=")</f>
        <v>#VALUE!</v>
      </c>
      <c r="IB22">
        <f>IF('Data Extract File Ty'!273:273,"AAAAAF51/us=",0)</f>
        <v>0</v>
      </c>
      <c r="IC22" t="e">
        <f>AND('Data Extract File Ty'!A273,"AAAAAF51/uw=")</f>
        <v>#VALUE!</v>
      </c>
      <c r="ID22" t="e">
        <f>AND('Data Extract File Ty'!B273,"AAAAAF51/u0=")</f>
        <v>#VALUE!</v>
      </c>
      <c r="IE22" t="e">
        <f>AND('Data Extract File Ty'!C273,"AAAAAF51/u4=")</f>
        <v>#VALUE!</v>
      </c>
      <c r="IF22" t="e">
        <f>AND('Data Extract File Ty'!D273,"AAAAAF51/u8=")</f>
        <v>#VALUE!</v>
      </c>
      <c r="IG22">
        <f>IF('Data Extract File Ty'!274:274,"AAAAAF51/vA=",0)</f>
        <v>0</v>
      </c>
      <c r="IH22" t="e">
        <f>AND('Data Extract File Ty'!A274,"AAAAAF51/vE=")</f>
        <v>#VALUE!</v>
      </c>
      <c r="II22" t="e">
        <f>AND('Data Extract File Ty'!B274,"AAAAAF51/vI=")</f>
        <v>#VALUE!</v>
      </c>
      <c r="IJ22" t="e">
        <f>AND('Data Extract File Ty'!C274,"AAAAAF51/vM=")</f>
        <v>#VALUE!</v>
      </c>
      <c r="IK22" t="e">
        <f>AND('Data Extract File Ty'!D274,"AAAAAF51/vQ=")</f>
        <v>#VALUE!</v>
      </c>
      <c r="IL22">
        <f>IF('Data Extract File Ty'!275:275,"AAAAAF51/vU=",0)</f>
        <v>0</v>
      </c>
      <c r="IM22" t="e">
        <f>AND('Data Extract File Ty'!A275,"AAAAAF51/vY=")</f>
        <v>#VALUE!</v>
      </c>
      <c r="IN22" t="e">
        <f>AND('Data Extract File Ty'!B275,"AAAAAF51/vc=")</f>
        <v>#VALUE!</v>
      </c>
      <c r="IO22" t="e">
        <f>AND('Data Extract File Ty'!C275,"AAAAAF51/vg=")</f>
        <v>#VALUE!</v>
      </c>
      <c r="IP22" t="e">
        <f>AND('Data Extract File Ty'!D275,"AAAAAF51/vk=")</f>
        <v>#VALUE!</v>
      </c>
      <c r="IQ22">
        <f>IF('Data Extract File Ty'!276:276,"AAAAAF51/vo=",0)</f>
        <v>0</v>
      </c>
      <c r="IR22" t="e">
        <f>AND('Data Extract File Ty'!A276,"AAAAAF51/vs=")</f>
        <v>#VALUE!</v>
      </c>
      <c r="IS22" t="e">
        <f>AND('Data Extract File Ty'!B276,"AAAAAF51/vw=")</f>
        <v>#VALUE!</v>
      </c>
      <c r="IT22" t="e">
        <f>AND('Data Extract File Ty'!C276,"AAAAAF51/v0=")</f>
        <v>#VALUE!</v>
      </c>
      <c r="IU22" t="e">
        <f>AND('Data Extract File Ty'!D276,"AAAAAF51/v4=")</f>
        <v>#VALUE!</v>
      </c>
      <c r="IV22">
        <f>IF('Data Extract File Ty'!277:277,"AAAAAF51/v8=",0)</f>
        <v>0</v>
      </c>
    </row>
    <row r="23" spans="1:256" x14ac:dyDescent="0.2">
      <c r="A23" t="e">
        <f>AND('Data Extract File Ty'!A277,"AAAAAHm/7QA=")</f>
        <v>#VALUE!</v>
      </c>
      <c r="B23" t="e">
        <f>AND('Data Extract File Ty'!B277,"AAAAAHm/7QE=")</f>
        <v>#VALUE!</v>
      </c>
      <c r="C23" t="e">
        <f>AND('Data Extract File Ty'!C277,"AAAAAHm/7QI=")</f>
        <v>#VALUE!</v>
      </c>
      <c r="D23" t="e">
        <f>AND('Data Extract File Ty'!D277,"AAAAAHm/7QM=")</f>
        <v>#VALUE!</v>
      </c>
      <c r="E23">
        <f>IF('Data Extract File Ty'!278:278,"AAAAAHm/7QQ=",0)</f>
        <v>0</v>
      </c>
      <c r="F23" t="e">
        <f>AND('Data Extract File Ty'!A278,"AAAAAHm/7QU=")</f>
        <v>#VALUE!</v>
      </c>
      <c r="G23" t="e">
        <f>AND('Data Extract File Ty'!B278,"AAAAAHm/7QY=")</f>
        <v>#VALUE!</v>
      </c>
      <c r="H23" t="e">
        <f>AND('Data Extract File Ty'!C278,"AAAAAHm/7Qc=")</f>
        <v>#VALUE!</v>
      </c>
      <c r="I23" t="e">
        <f>AND('Data Extract File Ty'!D278,"AAAAAHm/7Qg=")</f>
        <v>#VALUE!</v>
      </c>
      <c r="J23">
        <f>IF('Data Extract File Ty'!279:279,"AAAAAHm/7Qk=",0)</f>
        <v>0</v>
      </c>
      <c r="K23" t="e">
        <f>AND('Data Extract File Ty'!A279,"AAAAAHm/7Qo=")</f>
        <v>#VALUE!</v>
      </c>
      <c r="L23" t="e">
        <f>AND('Data Extract File Ty'!B279,"AAAAAHm/7Qs=")</f>
        <v>#VALUE!</v>
      </c>
      <c r="M23" t="e">
        <f>AND('Data Extract File Ty'!C279,"AAAAAHm/7Qw=")</f>
        <v>#VALUE!</v>
      </c>
      <c r="N23" t="e">
        <f>AND('Data Extract File Ty'!D279,"AAAAAHm/7Q0=")</f>
        <v>#VALUE!</v>
      </c>
      <c r="O23">
        <f>IF('Data Extract File Ty'!280:280,"AAAAAHm/7Q4=",0)</f>
        <v>0</v>
      </c>
      <c r="P23" t="e">
        <f>AND('Data Extract File Ty'!A280,"AAAAAHm/7Q8=")</f>
        <v>#VALUE!</v>
      </c>
      <c r="Q23" t="e">
        <f>AND('Data Extract File Ty'!B280,"AAAAAHm/7RA=")</f>
        <v>#VALUE!</v>
      </c>
      <c r="R23" t="e">
        <f>AND('Data Extract File Ty'!C280,"AAAAAHm/7RE=")</f>
        <v>#VALUE!</v>
      </c>
      <c r="S23" t="e">
        <f>AND('Data Extract File Ty'!D280,"AAAAAHm/7RI=")</f>
        <v>#VALUE!</v>
      </c>
      <c r="T23">
        <f>IF('Data Extract File Ty'!281:281,"AAAAAHm/7RM=",0)</f>
        <v>0</v>
      </c>
      <c r="U23" t="e">
        <f>AND('Data Extract File Ty'!A281,"AAAAAHm/7RQ=")</f>
        <v>#VALUE!</v>
      </c>
      <c r="V23" t="e">
        <f>AND('Data Extract File Ty'!B281,"AAAAAHm/7RU=")</f>
        <v>#VALUE!</v>
      </c>
      <c r="W23" t="e">
        <f>AND('Data Extract File Ty'!C281,"AAAAAHm/7RY=")</f>
        <v>#VALUE!</v>
      </c>
      <c r="X23" t="e">
        <f>AND('Data Extract File Ty'!D281,"AAAAAHm/7Rc=")</f>
        <v>#VALUE!</v>
      </c>
      <c r="Y23">
        <f>IF('Data Extract File Ty'!282:282,"AAAAAHm/7Rg=",0)</f>
        <v>0</v>
      </c>
      <c r="Z23" t="e">
        <f>AND('Data Extract File Ty'!A282,"AAAAAHm/7Rk=")</f>
        <v>#VALUE!</v>
      </c>
      <c r="AA23" t="e">
        <f>AND('Data Extract File Ty'!B282,"AAAAAHm/7Ro=")</f>
        <v>#VALUE!</v>
      </c>
      <c r="AB23" t="e">
        <f>AND('Data Extract File Ty'!C282,"AAAAAHm/7Rs=")</f>
        <v>#VALUE!</v>
      </c>
      <c r="AC23" t="e">
        <f>AND('Data Extract File Ty'!D282,"AAAAAHm/7Rw=")</f>
        <v>#VALUE!</v>
      </c>
      <c r="AD23">
        <f>IF('Data Extract File Ty'!283:283,"AAAAAHm/7R0=",0)</f>
        <v>0</v>
      </c>
      <c r="AE23" t="e">
        <f>AND('Data Extract File Ty'!A283,"AAAAAHm/7R4=")</f>
        <v>#VALUE!</v>
      </c>
      <c r="AF23" t="e">
        <f>AND('Data Extract File Ty'!B283,"AAAAAHm/7R8=")</f>
        <v>#VALUE!</v>
      </c>
      <c r="AG23" t="e">
        <f>AND('Data Extract File Ty'!C283,"AAAAAHm/7SA=")</f>
        <v>#VALUE!</v>
      </c>
      <c r="AH23" t="e">
        <f>AND('Data Extract File Ty'!D283,"AAAAAHm/7SE=")</f>
        <v>#VALUE!</v>
      </c>
      <c r="AI23">
        <f>IF('Data Extract File Ty'!284:284,"AAAAAHm/7SI=",0)</f>
        <v>0</v>
      </c>
      <c r="AJ23" t="e">
        <f>AND('Data Extract File Ty'!A284,"AAAAAHm/7SM=")</f>
        <v>#VALUE!</v>
      </c>
      <c r="AK23" t="e">
        <f>AND('Data Extract File Ty'!B284,"AAAAAHm/7SQ=")</f>
        <v>#VALUE!</v>
      </c>
      <c r="AL23" t="e">
        <f>AND('Data Extract File Ty'!C284,"AAAAAHm/7SU=")</f>
        <v>#VALUE!</v>
      </c>
      <c r="AM23" t="e">
        <f>AND('Data Extract File Ty'!D284,"AAAAAHm/7SY=")</f>
        <v>#VALUE!</v>
      </c>
      <c r="AN23">
        <f>IF('Data Extract File Ty'!285:285,"AAAAAHm/7Sc=",0)</f>
        <v>0</v>
      </c>
      <c r="AO23" t="e">
        <f>AND('Data Extract File Ty'!A285,"AAAAAHm/7Sg=")</f>
        <v>#VALUE!</v>
      </c>
      <c r="AP23" t="e">
        <f>AND('Data Extract File Ty'!B285,"AAAAAHm/7Sk=")</f>
        <v>#VALUE!</v>
      </c>
      <c r="AQ23" t="e">
        <f>AND('Data Extract File Ty'!C285,"AAAAAHm/7So=")</f>
        <v>#VALUE!</v>
      </c>
      <c r="AR23" t="e">
        <f>AND('Data Extract File Ty'!D285,"AAAAAHm/7Ss=")</f>
        <v>#VALUE!</v>
      </c>
      <c r="AS23">
        <f>IF('Data Extract File Ty'!286:286,"AAAAAHm/7Sw=",0)</f>
        <v>0</v>
      </c>
      <c r="AT23" t="e">
        <f>AND('Data Extract File Ty'!A286,"AAAAAHm/7S0=")</f>
        <v>#VALUE!</v>
      </c>
      <c r="AU23" t="e">
        <f>AND('Data Extract File Ty'!B286,"AAAAAHm/7S4=")</f>
        <v>#VALUE!</v>
      </c>
      <c r="AV23" t="e">
        <f>AND('Data Extract File Ty'!C286,"AAAAAHm/7S8=")</f>
        <v>#VALUE!</v>
      </c>
      <c r="AW23" t="e">
        <f>AND('Data Extract File Ty'!D286,"AAAAAHm/7TA=")</f>
        <v>#VALUE!</v>
      </c>
      <c r="AX23">
        <f>IF('Data Extract File Ty'!287:287,"AAAAAHm/7TE=",0)</f>
        <v>0</v>
      </c>
      <c r="AY23" t="e">
        <f>AND('Data Extract File Ty'!A287,"AAAAAHm/7TI=")</f>
        <v>#VALUE!</v>
      </c>
      <c r="AZ23" t="e">
        <f>AND('Data Extract File Ty'!B287,"AAAAAHm/7TM=")</f>
        <v>#VALUE!</v>
      </c>
      <c r="BA23" t="e">
        <f>AND('Data Extract File Ty'!C287,"AAAAAHm/7TQ=")</f>
        <v>#VALUE!</v>
      </c>
      <c r="BB23" t="e">
        <f>AND('Data Extract File Ty'!D287,"AAAAAHm/7TU=")</f>
        <v>#VALUE!</v>
      </c>
      <c r="BC23">
        <f>IF('Data Extract File Ty'!288:288,"AAAAAHm/7TY=",0)</f>
        <v>0</v>
      </c>
      <c r="BD23" t="e">
        <f>AND('Data Extract File Ty'!A288,"AAAAAHm/7Tc=")</f>
        <v>#VALUE!</v>
      </c>
      <c r="BE23" t="e">
        <f>AND('Data Extract File Ty'!B288,"AAAAAHm/7Tg=")</f>
        <v>#VALUE!</v>
      </c>
      <c r="BF23" t="e">
        <f>AND('Data Extract File Ty'!C288,"AAAAAHm/7Tk=")</f>
        <v>#VALUE!</v>
      </c>
      <c r="BG23" t="e">
        <f>AND('Data Extract File Ty'!D288,"AAAAAHm/7To=")</f>
        <v>#VALUE!</v>
      </c>
      <c r="BH23">
        <f>IF('Data Extract File Ty'!289:289,"AAAAAHm/7Ts=",0)</f>
        <v>0</v>
      </c>
      <c r="BI23" t="e">
        <f>AND('Data Extract File Ty'!A289,"AAAAAHm/7Tw=")</f>
        <v>#VALUE!</v>
      </c>
      <c r="BJ23" t="e">
        <f>AND('Data Extract File Ty'!B289,"AAAAAHm/7T0=")</f>
        <v>#VALUE!</v>
      </c>
      <c r="BK23" t="e">
        <f>AND('Data Extract File Ty'!C289,"AAAAAHm/7T4=")</f>
        <v>#VALUE!</v>
      </c>
      <c r="BL23" t="e">
        <f>AND('Data Extract File Ty'!D289,"AAAAAHm/7T8=")</f>
        <v>#VALUE!</v>
      </c>
      <c r="BM23">
        <f>IF('Data Extract File Ty'!290:290,"AAAAAHm/7UA=",0)</f>
        <v>0</v>
      </c>
      <c r="BN23" t="e">
        <f>AND('Data Extract File Ty'!A290,"AAAAAHm/7UE=")</f>
        <v>#VALUE!</v>
      </c>
      <c r="BO23" t="e">
        <f>AND('Data Extract File Ty'!B290,"AAAAAHm/7UI=")</f>
        <v>#VALUE!</v>
      </c>
      <c r="BP23" t="e">
        <f>AND('Data Extract File Ty'!C290,"AAAAAHm/7UM=")</f>
        <v>#VALUE!</v>
      </c>
      <c r="BQ23" t="e">
        <f>AND('Data Extract File Ty'!D290,"AAAAAHm/7UQ=")</f>
        <v>#VALUE!</v>
      </c>
      <c r="BR23">
        <f>IF('Data Extract File Ty'!291:291,"AAAAAHm/7UU=",0)</f>
        <v>0</v>
      </c>
      <c r="BS23" t="e">
        <f>AND('Data Extract File Ty'!A291,"AAAAAHm/7UY=")</f>
        <v>#VALUE!</v>
      </c>
      <c r="BT23" t="e">
        <f>AND('Data Extract File Ty'!B291,"AAAAAHm/7Uc=")</f>
        <v>#VALUE!</v>
      </c>
      <c r="BU23" t="e">
        <f>AND('Data Extract File Ty'!C291,"AAAAAHm/7Ug=")</f>
        <v>#VALUE!</v>
      </c>
      <c r="BV23" t="e">
        <f>AND('Data Extract File Ty'!D291,"AAAAAHm/7Uk=")</f>
        <v>#VALUE!</v>
      </c>
      <c r="BW23">
        <f>IF('Data Extract File Ty'!292:292,"AAAAAHm/7Uo=",0)</f>
        <v>0</v>
      </c>
      <c r="BX23" t="e">
        <f>AND('Data Extract File Ty'!A292,"AAAAAHm/7Us=")</f>
        <v>#VALUE!</v>
      </c>
      <c r="BY23" t="e">
        <f>AND('Data Extract File Ty'!B292,"AAAAAHm/7Uw=")</f>
        <v>#VALUE!</v>
      </c>
      <c r="BZ23" t="e">
        <f>AND('Data Extract File Ty'!C292,"AAAAAHm/7U0=")</f>
        <v>#VALUE!</v>
      </c>
      <c r="CA23" t="e">
        <f>AND('Data Extract File Ty'!D292,"AAAAAHm/7U4=")</f>
        <v>#VALUE!</v>
      </c>
      <c r="CB23">
        <f>IF('Data Extract File Ty'!293:293,"AAAAAHm/7U8=",0)</f>
        <v>0</v>
      </c>
      <c r="CC23" t="e">
        <f>AND('Data Extract File Ty'!A293,"AAAAAHm/7VA=")</f>
        <v>#VALUE!</v>
      </c>
      <c r="CD23" t="e">
        <f>AND('Data Extract File Ty'!B293,"AAAAAHm/7VE=")</f>
        <v>#VALUE!</v>
      </c>
      <c r="CE23" t="e">
        <f>AND('Data Extract File Ty'!C293,"AAAAAHm/7VI=")</f>
        <v>#VALUE!</v>
      </c>
      <c r="CF23" t="e">
        <f>AND('Data Extract File Ty'!D293,"AAAAAHm/7VM=")</f>
        <v>#VALUE!</v>
      </c>
      <c r="CG23">
        <f>IF('Data Extract File Ty'!294:294,"AAAAAHm/7VQ=",0)</f>
        <v>0</v>
      </c>
      <c r="CH23" t="e">
        <f>AND('Data Extract File Ty'!A294,"AAAAAHm/7VU=")</f>
        <v>#VALUE!</v>
      </c>
      <c r="CI23" t="e">
        <f>AND('Data Extract File Ty'!B294,"AAAAAHm/7VY=")</f>
        <v>#VALUE!</v>
      </c>
      <c r="CJ23" t="e">
        <f>AND('Data Extract File Ty'!C294,"AAAAAHm/7Vc=")</f>
        <v>#VALUE!</v>
      </c>
      <c r="CK23" t="e">
        <f>AND('Data Extract File Ty'!D294,"AAAAAHm/7Vg=")</f>
        <v>#VALUE!</v>
      </c>
      <c r="CL23">
        <f>IF('Data Extract File Ty'!295:295,"AAAAAHm/7Vk=",0)</f>
        <v>0</v>
      </c>
      <c r="CM23" t="e">
        <f>AND('Data Extract File Ty'!A295,"AAAAAHm/7Vo=")</f>
        <v>#VALUE!</v>
      </c>
      <c r="CN23" t="e">
        <f>AND('Data Extract File Ty'!B295,"AAAAAHm/7Vs=")</f>
        <v>#VALUE!</v>
      </c>
      <c r="CO23" t="e">
        <f>AND('Data Extract File Ty'!C295,"AAAAAHm/7Vw=")</f>
        <v>#VALUE!</v>
      </c>
      <c r="CP23" t="e">
        <f>AND('Data Extract File Ty'!D295,"AAAAAHm/7V0=")</f>
        <v>#VALUE!</v>
      </c>
      <c r="CQ23">
        <f>IF('Data Extract File Ty'!296:296,"AAAAAHm/7V4=",0)</f>
        <v>0</v>
      </c>
      <c r="CR23" t="e">
        <f>AND('Data Extract File Ty'!A296,"AAAAAHm/7V8=")</f>
        <v>#VALUE!</v>
      </c>
      <c r="CS23" t="e">
        <f>AND('Data Extract File Ty'!B296,"AAAAAHm/7WA=")</f>
        <v>#VALUE!</v>
      </c>
      <c r="CT23" t="e">
        <f>AND('Data Extract File Ty'!C296,"AAAAAHm/7WE=")</f>
        <v>#VALUE!</v>
      </c>
      <c r="CU23" t="e">
        <f>AND('Data Extract File Ty'!D296,"AAAAAHm/7WI=")</f>
        <v>#VALUE!</v>
      </c>
      <c r="CV23">
        <f>IF('Data Extract File Ty'!297:297,"AAAAAHm/7WM=",0)</f>
        <v>0</v>
      </c>
      <c r="CW23" t="e">
        <f>AND('Data Extract File Ty'!A297,"AAAAAHm/7WQ=")</f>
        <v>#VALUE!</v>
      </c>
      <c r="CX23" t="e">
        <f>AND('Data Extract File Ty'!B297,"AAAAAHm/7WU=")</f>
        <v>#VALUE!</v>
      </c>
      <c r="CY23" t="e">
        <f>AND('Data Extract File Ty'!C297,"AAAAAHm/7WY=")</f>
        <v>#VALUE!</v>
      </c>
      <c r="CZ23" t="e">
        <f>AND('Data Extract File Ty'!D297,"AAAAAHm/7Wc=")</f>
        <v>#VALUE!</v>
      </c>
      <c r="DA23">
        <f>IF('Data Extract File Ty'!298:298,"AAAAAHm/7Wg=",0)</f>
        <v>0</v>
      </c>
      <c r="DB23" t="e">
        <f>AND('Data Extract File Ty'!A298,"AAAAAHm/7Wk=")</f>
        <v>#VALUE!</v>
      </c>
      <c r="DC23" t="e">
        <f>AND('Data Extract File Ty'!B298,"AAAAAHm/7Wo=")</f>
        <v>#VALUE!</v>
      </c>
      <c r="DD23" t="e">
        <f>AND('Data Extract File Ty'!C298,"AAAAAHm/7Ws=")</f>
        <v>#VALUE!</v>
      </c>
      <c r="DE23" t="e">
        <f>AND('Data Extract File Ty'!D298,"AAAAAHm/7Ww=")</f>
        <v>#VALUE!</v>
      </c>
      <c r="DF23">
        <f>IF('Data Extract File Ty'!299:299,"AAAAAHm/7W0=",0)</f>
        <v>0</v>
      </c>
      <c r="DG23" t="e">
        <f>AND('Data Extract File Ty'!A299,"AAAAAHm/7W4=")</f>
        <v>#VALUE!</v>
      </c>
      <c r="DH23" t="e">
        <f>AND('Data Extract File Ty'!B299,"AAAAAHm/7W8=")</f>
        <v>#VALUE!</v>
      </c>
      <c r="DI23" t="e">
        <f>AND('Data Extract File Ty'!C299,"AAAAAHm/7XA=")</f>
        <v>#VALUE!</v>
      </c>
      <c r="DJ23" t="e">
        <f>AND('Data Extract File Ty'!D299,"AAAAAHm/7XE=")</f>
        <v>#VALUE!</v>
      </c>
      <c r="DK23">
        <f>IF('Data Extract File Ty'!300:300,"AAAAAHm/7XI=",0)</f>
        <v>0</v>
      </c>
      <c r="DL23" t="e">
        <f>AND('Data Extract File Ty'!A300,"AAAAAHm/7XM=")</f>
        <v>#VALUE!</v>
      </c>
      <c r="DM23" t="e">
        <f>AND('Data Extract File Ty'!B300,"AAAAAHm/7XQ=")</f>
        <v>#VALUE!</v>
      </c>
      <c r="DN23" t="e">
        <f>AND('Data Extract File Ty'!C300,"AAAAAHm/7XU=")</f>
        <v>#VALUE!</v>
      </c>
      <c r="DO23" t="e">
        <f>AND('Data Extract File Ty'!D300,"AAAAAHm/7XY=")</f>
        <v>#VALUE!</v>
      </c>
      <c r="DP23">
        <f>IF('Data Extract File Ty'!301:301,"AAAAAHm/7Xc=",0)</f>
        <v>0</v>
      </c>
      <c r="DQ23" t="e">
        <f>AND('Data Extract File Ty'!A301,"AAAAAHm/7Xg=")</f>
        <v>#VALUE!</v>
      </c>
      <c r="DR23" t="e">
        <f>AND('Data Extract File Ty'!B301,"AAAAAHm/7Xk=")</f>
        <v>#VALUE!</v>
      </c>
      <c r="DS23" t="e">
        <f>AND('Data Extract File Ty'!C301,"AAAAAHm/7Xo=")</f>
        <v>#VALUE!</v>
      </c>
      <c r="DT23" t="e">
        <f>AND('Data Extract File Ty'!D301,"AAAAAHm/7Xs=")</f>
        <v>#VALUE!</v>
      </c>
      <c r="DU23">
        <f>IF('Data Extract File Ty'!302:302,"AAAAAHm/7Xw=",0)</f>
        <v>0</v>
      </c>
      <c r="DV23" t="e">
        <f>AND('Data Extract File Ty'!A302,"AAAAAHm/7X0=")</f>
        <v>#VALUE!</v>
      </c>
      <c r="DW23" t="e">
        <f>AND('Data Extract File Ty'!B302,"AAAAAHm/7X4=")</f>
        <v>#VALUE!</v>
      </c>
      <c r="DX23" t="e">
        <f>AND('Data Extract File Ty'!C302,"AAAAAHm/7X8=")</f>
        <v>#VALUE!</v>
      </c>
      <c r="DY23" t="e">
        <f>AND('Data Extract File Ty'!D302,"AAAAAHm/7YA=")</f>
        <v>#VALUE!</v>
      </c>
      <c r="DZ23">
        <f>IF('Data Extract File Ty'!303:303,"AAAAAHm/7YE=",0)</f>
        <v>0</v>
      </c>
      <c r="EA23" t="e">
        <f>AND('Data Extract File Ty'!A303,"AAAAAHm/7YI=")</f>
        <v>#VALUE!</v>
      </c>
      <c r="EB23" t="e">
        <f>AND('Data Extract File Ty'!B303,"AAAAAHm/7YM=")</f>
        <v>#VALUE!</v>
      </c>
      <c r="EC23" t="e">
        <f>AND('Data Extract File Ty'!C303,"AAAAAHm/7YQ=")</f>
        <v>#VALUE!</v>
      </c>
      <c r="ED23" t="e">
        <f>AND('Data Extract File Ty'!D303,"AAAAAHm/7YU=")</f>
        <v>#VALUE!</v>
      </c>
      <c r="EE23">
        <f>IF('Data Extract File Ty'!304:304,"AAAAAHm/7YY=",0)</f>
        <v>0</v>
      </c>
      <c r="EF23" t="e">
        <f>AND('Data Extract File Ty'!A304,"AAAAAHm/7Yc=")</f>
        <v>#VALUE!</v>
      </c>
      <c r="EG23" t="e">
        <f>AND('Data Extract File Ty'!B304,"AAAAAHm/7Yg=")</f>
        <v>#VALUE!</v>
      </c>
      <c r="EH23" t="e">
        <f>AND('Data Extract File Ty'!C304,"AAAAAHm/7Yk=")</f>
        <v>#VALUE!</v>
      </c>
      <c r="EI23" t="e">
        <f>AND('Data Extract File Ty'!D304,"AAAAAHm/7Yo=")</f>
        <v>#VALUE!</v>
      </c>
      <c r="EJ23">
        <f>IF('Data Extract File Ty'!305:305,"AAAAAHm/7Ys=",0)</f>
        <v>0</v>
      </c>
      <c r="EK23" t="e">
        <f>AND('Data Extract File Ty'!A305,"AAAAAHm/7Yw=")</f>
        <v>#VALUE!</v>
      </c>
      <c r="EL23" t="e">
        <f>AND('Data Extract File Ty'!B305,"AAAAAHm/7Y0=")</f>
        <v>#VALUE!</v>
      </c>
      <c r="EM23" t="e">
        <f>AND('Data Extract File Ty'!C305,"AAAAAHm/7Y4=")</f>
        <v>#VALUE!</v>
      </c>
      <c r="EN23" t="e">
        <f>AND('Data Extract File Ty'!D305,"AAAAAHm/7Y8=")</f>
        <v>#VALUE!</v>
      </c>
      <c r="EO23">
        <f>IF('Data Extract File Ty'!306:306,"AAAAAHm/7ZA=",0)</f>
        <v>0</v>
      </c>
      <c r="EP23" t="e">
        <f>AND('Data Extract File Ty'!A306,"AAAAAHm/7ZE=")</f>
        <v>#VALUE!</v>
      </c>
      <c r="EQ23" t="e">
        <f>AND('Data Extract File Ty'!B306,"AAAAAHm/7ZI=")</f>
        <v>#VALUE!</v>
      </c>
      <c r="ER23" t="e">
        <f>AND('Data Extract File Ty'!C306,"AAAAAHm/7ZM=")</f>
        <v>#VALUE!</v>
      </c>
      <c r="ES23" t="e">
        <f>AND('Data Extract File Ty'!D306,"AAAAAHm/7ZQ=")</f>
        <v>#VALUE!</v>
      </c>
      <c r="ET23">
        <f>IF('Data Extract File Ty'!307:307,"AAAAAHm/7ZU=",0)</f>
        <v>0</v>
      </c>
      <c r="EU23" t="e">
        <f>AND('Data Extract File Ty'!A307,"AAAAAHm/7ZY=")</f>
        <v>#VALUE!</v>
      </c>
      <c r="EV23" t="e">
        <f>AND('Data Extract File Ty'!B307,"AAAAAHm/7Zc=")</f>
        <v>#VALUE!</v>
      </c>
      <c r="EW23" t="e">
        <f>AND('Data Extract File Ty'!C307,"AAAAAHm/7Zg=")</f>
        <v>#VALUE!</v>
      </c>
      <c r="EX23" t="e">
        <f>AND('Data Extract File Ty'!D307,"AAAAAHm/7Zk=")</f>
        <v>#VALUE!</v>
      </c>
      <c r="EY23">
        <f>IF('Data Extract File Ty'!308:308,"AAAAAHm/7Zo=",0)</f>
        <v>0</v>
      </c>
      <c r="EZ23" t="e">
        <f>AND('Data Extract File Ty'!A308,"AAAAAHm/7Zs=")</f>
        <v>#VALUE!</v>
      </c>
      <c r="FA23" t="e">
        <f>AND('Data Extract File Ty'!B308,"AAAAAHm/7Zw=")</f>
        <v>#VALUE!</v>
      </c>
      <c r="FB23" t="e">
        <f>AND('Data Extract File Ty'!C308,"AAAAAHm/7Z0=")</f>
        <v>#VALUE!</v>
      </c>
      <c r="FC23" t="e">
        <f>AND('Data Extract File Ty'!D308,"AAAAAHm/7Z4=")</f>
        <v>#VALUE!</v>
      </c>
      <c r="FD23">
        <f>IF('Data Extract File Ty'!309:309,"AAAAAHm/7Z8=",0)</f>
        <v>0</v>
      </c>
      <c r="FE23" t="e">
        <f>AND('Data Extract File Ty'!A309,"AAAAAHm/7aA=")</f>
        <v>#VALUE!</v>
      </c>
      <c r="FF23" t="e">
        <f>AND('Data Extract File Ty'!B309,"AAAAAHm/7aE=")</f>
        <v>#VALUE!</v>
      </c>
      <c r="FG23" t="e">
        <f>AND('Data Extract File Ty'!C309,"AAAAAHm/7aI=")</f>
        <v>#VALUE!</v>
      </c>
      <c r="FH23" t="e">
        <f>AND('Data Extract File Ty'!D309,"AAAAAHm/7aM=")</f>
        <v>#VALUE!</v>
      </c>
      <c r="FI23">
        <f>IF('Data Extract File Ty'!310:310,"AAAAAHm/7aQ=",0)</f>
        <v>0</v>
      </c>
      <c r="FJ23" t="e">
        <f>AND('Data Extract File Ty'!A310,"AAAAAHm/7aU=")</f>
        <v>#VALUE!</v>
      </c>
      <c r="FK23" t="e">
        <f>AND('Data Extract File Ty'!B310,"AAAAAHm/7aY=")</f>
        <v>#VALUE!</v>
      </c>
      <c r="FL23" t="e">
        <f>AND('Data Extract File Ty'!C310,"AAAAAHm/7ac=")</f>
        <v>#VALUE!</v>
      </c>
      <c r="FM23" t="e">
        <f>AND('Data Extract File Ty'!D310,"AAAAAHm/7ag=")</f>
        <v>#VALUE!</v>
      </c>
      <c r="FN23">
        <f>IF('Data Extract File Ty'!311:311,"AAAAAHm/7ak=",0)</f>
        <v>0</v>
      </c>
      <c r="FO23" t="e">
        <f>AND('Data Extract File Ty'!A311,"AAAAAHm/7ao=")</f>
        <v>#VALUE!</v>
      </c>
      <c r="FP23" t="e">
        <f>AND('Data Extract File Ty'!B311,"AAAAAHm/7as=")</f>
        <v>#VALUE!</v>
      </c>
      <c r="FQ23" t="e">
        <f>AND('Data Extract File Ty'!C311,"AAAAAHm/7aw=")</f>
        <v>#VALUE!</v>
      </c>
      <c r="FR23" t="e">
        <f>AND('Data Extract File Ty'!D311,"AAAAAHm/7a0=")</f>
        <v>#VALUE!</v>
      </c>
      <c r="FS23">
        <f>IF('Data Extract File Ty'!312:312,"AAAAAHm/7a4=",0)</f>
        <v>0</v>
      </c>
      <c r="FT23" t="e">
        <f>AND('Data Extract File Ty'!A312,"AAAAAHm/7a8=")</f>
        <v>#VALUE!</v>
      </c>
      <c r="FU23" t="e">
        <f>AND('Data Extract File Ty'!B312,"AAAAAHm/7bA=")</f>
        <v>#VALUE!</v>
      </c>
      <c r="FV23" t="e">
        <f>AND('Data Extract File Ty'!C312,"AAAAAHm/7bE=")</f>
        <v>#VALUE!</v>
      </c>
      <c r="FW23" t="e">
        <f>AND('Data Extract File Ty'!D312,"AAAAAHm/7bI=")</f>
        <v>#VALUE!</v>
      </c>
      <c r="FX23">
        <f>IF('Data Extract File Ty'!313:313,"AAAAAHm/7bM=",0)</f>
        <v>0</v>
      </c>
      <c r="FY23" t="e">
        <f>AND('Data Extract File Ty'!A313,"AAAAAHm/7bQ=")</f>
        <v>#VALUE!</v>
      </c>
      <c r="FZ23" t="e">
        <f>AND('Data Extract File Ty'!B313,"AAAAAHm/7bU=")</f>
        <v>#VALUE!</v>
      </c>
      <c r="GA23" t="e">
        <f>AND('Data Extract File Ty'!C313,"AAAAAHm/7bY=")</f>
        <v>#VALUE!</v>
      </c>
      <c r="GB23" t="e">
        <f>AND('Data Extract File Ty'!D313,"AAAAAHm/7bc=")</f>
        <v>#VALUE!</v>
      </c>
      <c r="GC23">
        <f>IF('Data Extract File Ty'!314:314,"AAAAAHm/7bg=",0)</f>
        <v>0</v>
      </c>
      <c r="GD23" t="e">
        <f>AND('Data Extract File Ty'!A314,"AAAAAHm/7bk=")</f>
        <v>#VALUE!</v>
      </c>
      <c r="GE23" t="e">
        <f>AND('Data Extract File Ty'!B314,"AAAAAHm/7bo=")</f>
        <v>#VALUE!</v>
      </c>
      <c r="GF23" t="e">
        <f>AND('Data Extract File Ty'!C314,"AAAAAHm/7bs=")</f>
        <v>#VALUE!</v>
      </c>
      <c r="GG23" t="e">
        <f>AND('Data Extract File Ty'!D314,"AAAAAHm/7bw=")</f>
        <v>#VALUE!</v>
      </c>
      <c r="GH23">
        <f>IF('Data Extract File Ty'!315:315,"AAAAAHm/7b0=",0)</f>
        <v>0</v>
      </c>
      <c r="GI23" t="e">
        <f>AND('Data Extract File Ty'!A315,"AAAAAHm/7b4=")</f>
        <v>#VALUE!</v>
      </c>
      <c r="GJ23" t="e">
        <f>AND('Data Extract File Ty'!B315,"AAAAAHm/7b8=")</f>
        <v>#VALUE!</v>
      </c>
      <c r="GK23" t="e">
        <f>AND('Data Extract File Ty'!C315,"AAAAAHm/7cA=")</f>
        <v>#VALUE!</v>
      </c>
      <c r="GL23" t="e">
        <f>AND('Data Extract File Ty'!D315,"AAAAAHm/7cE=")</f>
        <v>#VALUE!</v>
      </c>
      <c r="GM23">
        <f>IF('Data Extract File Ty'!316:316,"AAAAAHm/7cI=",0)</f>
        <v>0</v>
      </c>
      <c r="GN23" t="e">
        <f>AND('Data Extract File Ty'!A316,"AAAAAHm/7cM=")</f>
        <v>#VALUE!</v>
      </c>
      <c r="GO23" t="e">
        <f>AND('Data Extract File Ty'!B316,"AAAAAHm/7cQ=")</f>
        <v>#VALUE!</v>
      </c>
      <c r="GP23" t="e">
        <f>AND('Data Extract File Ty'!C316,"AAAAAHm/7cU=")</f>
        <v>#VALUE!</v>
      </c>
      <c r="GQ23" t="e">
        <f>AND('Data Extract File Ty'!D316,"AAAAAHm/7cY=")</f>
        <v>#VALUE!</v>
      </c>
      <c r="GR23">
        <f>IF('Data Extract File Ty'!317:317,"AAAAAHm/7cc=",0)</f>
        <v>0</v>
      </c>
      <c r="GS23" t="e">
        <f>AND('Data Extract File Ty'!A317,"AAAAAHm/7cg=")</f>
        <v>#VALUE!</v>
      </c>
      <c r="GT23" t="e">
        <f>AND('Data Extract File Ty'!B317,"AAAAAHm/7ck=")</f>
        <v>#VALUE!</v>
      </c>
      <c r="GU23" t="e">
        <f>AND('Data Extract File Ty'!C317,"AAAAAHm/7co=")</f>
        <v>#VALUE!</v>
      </c>
      <c r="GV23" t="e">
        <f>AND('Data Extract File Ty'!D317,"AAAAAHm/7cs=")</f>
        <v>#VALUE!</v>
      </c>
      <c r="GW23">
        <f>IF('Data Extract File Ty'!318:318,"AAAAAHm/7cw=",0)</f>
        <v>0</v>
      </c>
      <c r="GX23" t="e">
        <f>AND('Data Extract File Ty'!A318,"AAAAAHm/7c0=")</f>
        <v>#VALUE!</v>
      </c>
      <c r="GY23" t="e">
        <f>AND('Data Extract File Ty'!B318,"AAAAAHm/7c4=")</f>
        <v>#VALUE!</v>
      </c>
      <c r="GZ23" t="e">
        <f>AND('Data Extract File Ty'!C318,"AAAAAHm/7c8=")</f>
        <v>#VALUE!</v>
      </c>
      <c r="HA23" t="e">
        <f>AND('Data Extract File Ty'!D318,"AAAAAHm/7dA=")</f>
        <v>#VALUE!</v>
      </c>
      <c r="HB23">
        <f>IF('Data Extract File Ty'!319:319,"AAAAAHm/7dE=",0)</f>
        <v>0</v>
      </c>
      <c r="HC23" t="e">
        <f>AND('Data Extract File Ty'!A319,"AAAAAHm/7dI=")</f>
        <v>#VALUE!</v>
      </c>
      <c r="HD23" t="e">
        <f>AND('Data Extract File Ty'!B319,"AAAAAHm/7dM=")</f>
        <v>#VALUE!</v>
      </c>
      <c r="HE23" t="e">
        <f>AND('Data Extract File Ty'!C319,"AAAAAHm/7dQ=")</f>
        <v>#VALUE!</v>
      </c>
      <c r="HF23" t="e">
        <f>AND('Data Extract File Ty'!D319,"AAAAAHm/7dU=")</f>
        <v>#VALUE!</v>
      </c>
      <c r="HG23">
        <f>IF('Data Extract File Ty'!320:320,"AAAAAHm/7dY=",0)</f>
        <v>0</v>
      </c>
      <c r="HH23" t="e">
        <f>AND('Data Extract File Ty'!A320,"AAAAAHm/7dc=")</f>
        <v>#VALUE!</v>
      </c>
      <c r="HI23" t="e">
        <f>AND('Data Extract File Ty'!B320,"AAAAAHm/7dg=")</f>
        <v>#VALUE!</v>
      </c>
      <c r="HJ23" t="e">
        <f>AND('Data Extract File Ty'!C320,"AAAAAHm/7dk=")</f>
        <v>#VALUE!</v>
      </c>
      <c r="HK23" t="e">
        <f>AND('Data Extract File Ty'!D320,"AAAAAHm/7do=")</f>
        <v>#VALUE!</v>
      </c>
      <c r="HL23">
        <f>IF('Data Extract File Ty'!321:321,"AAAAAHm/7ds=",0)</f>
        <v>0</v>
      </c>
      <c r="HM23" t="e">
        <f>AND('Data Extract File Ty'!A321,"AAAAAHm/7dw=")</f>
        <v>#VALUE!</v>
      </c>
      <c r="HN23" t="e">
        <f>AND('Data Extract File Ty'!B321,"AAAAAHm/7d0=")</f>
        <v>#VALUE!</v>
      </c>
      <c r="HO23" t="e">
        <f>AND('Data Extract File Ty'!C321,"AAAAAHm/7d4=")</f>
        <v>#VALUE!</v>
      </c>
      <c r="HP23" t="e">
        <f>AND('Data Extract File Ty'!D321,"AAAAAHm/7d8=")</f>
        <v>#VALUE!</v>
      </c>
      <c r="HQ23">
        <f>IF('Data Extract File Ty'!322:322,"AAAAAHm/7eA=",0)</f>
        <v>0</v>
      </c>
      <c r="HR23" t="e">
        <f>AND('Data Extract File Ty'!A322,"AAAAAHm/7eE=")</f>
        <v>#VALUE!</v>
      </c>
      <c r="HS23" t="e">
        <f>AND('Data Extract File Ty'!B322,"AAAAAHm/7eI=")</f>
        <v>#VALUE!</v>
      </c>
      <c r="HT23" t="e">
        <f>AND('Data Extract File Ty'!C322,"AAAAAHm/7eM=")</f>
        <v>#VALUE!</v>
      </c>
      <c r="HU23" t="e">
        <f>AND('Data Extract File Ty'!D322,"AAAAAHm/7eQ=")</f>
        <v>#VALUE!</v>
      </c>
      <c r="HV23">
        <f>IF('Data Extract File Ty'!323:323,"AAAAAHm/7eU=",0)</f>
        <v>0</v>
      </c>
      <c r="HW23" t="e">
        <f>AND('Data Extract File Ty'!A323,"AAAAAHm/7eY=")</f>
        <v>#VALUE!</v>
      </c>
      <c r="HX23" t="e">
        <f>AND('Data Extract File Ty'!B323,"AAAAAHm/7ec=")</f>
        <v>#VALUE!</v>
      </c>
      <c r="HY23" t="e">
        <f>AND('Data Extract File Ty'!C323,"AAAAAHm/7eg=")</f>
        <v>#VALUE!</v>
      </c>
      <c r="HZ23" t="e">
        <f>AND('Data Extract File Ty'!D323,"AAAAAHm/7ek=")</f>
        <v>#VALUE!</v>
      </c>
      <c r="IA23">
        <f>IF('Data Extract File Ty'!324:324,"AAAAAHm/7eo=",0)</f>
        <v>0</v>
      </c>
      <c r="IB23" t="e">
        <f>AND('Data Extract File Ty'!A324,"AAAAAHm/7es=")</f>
        <v>#VALUE!</v>
      </c>
      <c r="IC23" t="e">
        <f>AND('Data Extract File Ty'!B324,"AAAAAHm/7ew=")</f>
        <v>#VALUE!</v>
      </c>
      <c r="ID23" t="e">
        <f>AND('Data Extract File Ty'!C324,"AAAAAHm/7e0=")</f>
        <v>#VALUE!</v>
      </c>
      <c r="IE23" t="e">
        <f>AND('Data Extract File Ty'!D324,"AAAAAHm/7e4=")</f>
        <v>#VALUE!</v>
      </c>
      <c r="IF23">
        <f>IF('Data Extract File Ty'!325:325,"AAAAAHm/7e8=",0)</f>
        <v>0</v>
      </c>
      <c r="IG23" t="e">
        <f>AND('Data Extract File Ty'!A325,"AAAAAHm/7fA=")</f>
        <v>#VALUE!</v>
      </c>
      <c r="IH23" t="e">
        <f>AND('Data Extract File Ty'!B325,"AAAAAHm/7fE=")</f>
        <v>#VALUE!</v>
      </c>
      <c r="II23" t="e">
        <f>AND('Data Extract File Ty'!C325,"AAAAAHm/7fI=")</f>
        <v>#VALUE!</v>
      </c>
      <c r="IJ23" t="e">
        <f>AND('Data Extract File Ty'!D325,"AAAAAHm/7fM=")</f>
        <v>#VALUE!</v>
      </c>
      <c r="IK23">
        <f>IF('Data Extract File Ty'!326:326,"AAAAAHm/7fQ=",0)</f>
        <v>0</v>
      </c>
      <c r="IL23" t="e">
        <f>AND('Data Extract File Ty'!A326,"AAAAAHm/7fU=")</f>
        <v>#VALUE!</v>
      </c>
      <c r="IM23" t="e">
        <f>AND('Data Extract File Ty'!B326,"AAAAAHm/7fY=")</f>
        <v>#VALUE!</v>
      </c>
      <c r="IN23" t="e">
        <f>AND('Data Extract File Ty'!C326,"AAAAAHm/7fc=")</f>
        <v>#VALUE!</v>
      </c>
      <c r="IO23" t="e">
        <f>AND('Data Extract File Ty'!D326,"AAAAAHm/7fg=")</f>
        <v>#VALUE!</v>
      </c>
      <c r="IP23">
        <f>IF('Data Extract File Ty'!327:327,"AAAAAHm/7fk=",0)</f>
        <v>0</v>
      </c>
      <c r="IQ23" t="e">
        <f>AND('Data Extract File Ty'!A327,"AAAAAHm/7fo=")</f>
        <v>#VALUE!</v>
      </c>
      <c r="IR23" t="e">
        <f>AND('Data Extract File Ty'!B327,"AAAAAHm/7fs=")</f>
        <v>#VALUE!</v>
      </c>
      <c r="IS23" t="e">
        <f>AND('Data Extract File Ty'!C327,"AAAAAHm/7fw=")</f>
        <v>#VALUE!</v>
      </c>
      <c r="IT23" t="e">
        <f>AND('Data Extract File Ty'!D327,"AAAAAHm/7f0=")</f>
        <v>#VALUE!</v>
      </c>
      <c r="IU23">
        <f>IF('Data Extract File Ty'!328:328,"AAAAAHm/7f4=",0)</f>
        <v>0</v>
      </c>
      <c r="IV23" t="e">
        <f>AND('Data Extract File Ty'!A328,"AAAAAHm/7f8=")</f>
        <v>#VALUE!</v>
      </c>
    </row>
    <row r="24" spans="1:256" x14ac:dyDescent="0.2">
      <c r="A24" t="e">
        <f>AND('Data Extract File Ty'!B328,"AAAAAHfvfQA=")</f>
        <v>#VALUE!</v>
      </c>
      <c r="B24" t="e">
        <f>AND('Data Extract File Ty'!C328,"AAAAAHfvfQE=")</f>
        <v>#VALUE!</v>
      </c>
      <c r="C24" t="e">
        <f>AND('Data Extract File Ty'!D328,"AAAAAHfvfQI=")</f>
        <v>#VALUE!</v>
      </c>
      <c r="D24" t="e">
        <f>IF('Data Extract File Ty'!329:329,"AAAAAHfvfQM=",0)</f>
        <v>#VALUE!</v>
      </c>
      <c r="E24" t="e">
        <f>AND('Data Extract File Ty'!A329,"AAAAAHfvfQQ=")</f>
        <v>#VALUE!</v>
      </c>
      <c r="F24" t="e">
        <f>AND('Data Extract File Ty'!B329,"AAAAAHfvfQU=")</f>
        <v>#VALUE!</v>
      </c>
      <c r="G24" t="e">
        <f>AND('Data Extract File Ty'!C329,"AAAAAHfvfQY=")</f>
        <v>#VALUE!</v>
      </c>
      <c r="H24" t="e">
        <f>AND('Data Extract File Ty'!D329,"AAAAAHfvfQc=")</f>
        <v>#VALUE!</v>
      </c>
      <c r="I24">
        <f>IF('Data Extract File Ty'!330:330,"AAAAAHfvfQg=",0)</f>
        <v>0</v>
      </c>
      <c r="J24" t="e">
        <f>AND('Data Extract File Ty'!A330,"AAAAAHfvfQk=")</f>
        <v>#VALUE!</v>
      </c>
      <c r="K24" t="e">
        <f>AND('Data Extract File Ty'!B330,"AAAAAHfvfQo=")</f>
        <v>#VALUE!</v>
      </c>
      <c r="L24" t="e">
        <f>AND('Data Extract File Ty'!C330,"AAAAAHfvfQs=")</f>
        <v>#VALUE!</v>
      </c>
      <c r="M24" t="e">
        <f>AND('Data Extract File Ty'!D330,"AAAAAHfvfQw=")</f>
        <v>#VALUE!</v>
      </c>
      <c r="N24">
        <f>IF('Data Extract File Ty'!331:331,"AAAAAHfvfQ0=",0)</f>
        <v>0</v>
      </c>
      <c r="O24" t="e">
        <f>AND('Data Extract File Ty'!A331,"AAAAAHfvfQ4=")</f>
        <v>#VALUE!</v>
      </c>
      <c r="P24" t="e">
        <f>AND('Data Extract File Ty'!B331,"AAAAAHfvfQ8=")</f>
        <v>#VALUE!</v>
      </c>
      <c r="Q24" t="e">
        <f>AND('Data Extract File Ty'!C331,"AAAAAHfvfRA=")</f>
        <v>#VALUE!</v>
      </c>
      <c r="R24" t="e">
        <f>AND('Data Extract File Ty'!D331,"AAAAAHfvfRE=")</f>
        <v>#VALUE!</v>
      </c>
      <c r="S24">
        <f>IF('Data Extract File Ty'!332:332,"AAAAAHfvfRI=",0)</f>
        <v>0</v>
      </c>
      <c r="T24" t="e">
        <f>AND('Data Extract File Ty'!A332,"AAAAAHfvfRM=")</f>
        <v>#VALUE!</v>
      </c>
      <c r="U24" t="e">
        <f>AND('Data Extract File Ty'!B332,"AAAAAHfvfRQ=")</f>
        <v>#VALUE!</v>
      </c>
      <c r="V24" t="e">
        <f>AND('Data Extract File Ty'!C332,"AAAAAHfvfRU=")</f>
        <v>#VALUE!</v>
      </c>
      <c r="W24" t="e">
        <f>AND('Data Extract File Ty'!D332,"AAAAAHfvfRY=")</f>
        <v>#VALUE!</v>
      </c>
      <c r="X24">
        <f>IF('Data Extract File Ty'!333:333,"AAAAAHfvfRc=",0)</f>
        <v>0</v>
      </c>
      <c r="Y24" t="e">
        <f>AND('Data Extract File Ty'!A333,"AAAAAHfvfRg=")</f>
        <v>#VALUE!</v>
      </c>
      <c r="Z24" t="e">
        <f>AND('Data Extract File Ty'!B333,"AAAAAHfvfRk=")</f>
        <v>#VALUE!</v>
      </c>
      <c r="AA24" t="e">
        <f>AND('Data Extract File Ty'!C333,"AAAAAHfvfRo=")</f>
        <v>#VALUE!</v>
      </c>
      <c r="AB24" t="e">
        <f>AND('Data Extract File Ty'!D333,"AAAAAHfvfRs=")</f>
        <v>#VALUE!</v>
      </c>
      <c r="AC24">
        <f>IF('Data Extract File Ty'!334:334,"AAAAAHfvfRw=",0)</f>
        <v>0</v>
      </c>
      <c r="AD24" t="e">
        <f>AND('Data Extract File Ty'!A334,"AAAAAHfvfR0=")</f>
        <v>#VALUE!</v>
      </c>
      <c r="AE24" t="e">
        <f>AND('Data Extract File Ty'!B334,"AAAAAHfvfR4=")</f>
        <v>#VALUE!</v>
      </c>
      <c r="AF24" t="e">
        <f>AND('Data Extract File Ty'!C334,"AAAAAHfvfR8=")</f>
        <v>#VALUE!</v>
      </c>
      <c r="AG24" t="e">
        <f>AND('Data Extract File Ty'!D334,"AAAAAHfvfSA=")</f>
        <v>#VALUE!</v>
      </c>
      <c r="AH24">
        <f>IF('Data Extract File Ty'!335:335,"AAAAAHfvfSE=",0)</f>
        <v>0</v>
      </c>
      <c r="AI24" t="e">
        <f>AND('Data Extract File Ty'!A335,"AAAAAHfvfSI=")</f>
        <v>#VALUE!</v>
      </c>
      <c r="AJ24" t="e">
        <f>AND('Data Extract File Ty'!B335,"AAAAAHfvfSM=")</f>
        <v>#VALUE!</v>
      </c>
      <c r="AK24" t="e">
        <f>AND('Data Extract File Ty'!C335,"AAAAAHfvfSQ=")</f>
        <v>#VALUE!</v>
      </c>
      <c r="AL24" t="e">
        <f>AND('Data Extract File Ty'!D335,"AAAAAHfvfSU=")</f>
        <v>#VALUE!</v>
      </c>
      <c r="AM24">
        <f>IF('Data Extract File Ty'!336:336,"AAAAAHfvfSY=",0)</f>
        <v>0</v>
      </c>
      <c r="AN24" t="e">
        <f>AND('Data Extract File Ty'!A336,"AAAAAHfvfSc=")</f>
        <v>#VALUE!</v>
      </c>
      <c r="AO24" t="e">
        <f>AND('Data Extract File Ty'!B336,"AAAAAHfvfSg=")</f>
        <v>#VALUE!</v>
      </c>
      <c r="AP24" t="e">
        <f>AND('Data Extract File Ty'!C336,"AAAAAHfvfSk=")</f>
        <v>#VALUE!</v>
      </c>
      <c r="AQ24" t="e">
        <f>AND('Data Extract File Ty'!D336,"AAAAAHfvfSo=")</f>
        <v>#VALUE!</v>
      </c>
      <c r="AR24">
        <f>IF('Data Extract File Ty'!337:337,"AAAAAHfvfSs=",0)</f>
        <v>0</v>
      </c>
      <c r="AS24" t="e">
        <f>AND('Data Extract File Ty'!A337,"AAAAAHfvfSw=")</f>
        <v>#VALUE!</v>
      </c>
      <c r="AT24" t="e">
        <f>AND('Data Extract File Ty'!B337,"AAAAAHfvfS0=")</f>
        <v>#VALUE!</v>
      </c>
      <c r="AU24" t="e">
        <f>AND('Data Extract File Ty'!C337,"AAAAAHfvfS4=")</f>
        <v>#VALUE!</v>
      </c>
      <c r="AV24" t="e">
        <f>AND('Data Extract File Ty'!D337,"AAAAAHfvfS8=")</f>
        <v>#VALUE!</v>
      </c>
      <c r="AW24">
        <f>IF('Data Extract File Ty'!338:338,"AAAAAHfvfTA=",0)</f>
        <v>0</v>
      </c>
      <c r="AX24" t="e">
        <f>AND('Data Extract File Ty'!A338,"AAAAAHfvfTE=")</f>
        <v>#VALUE!</v>
      </c>
      <c r="AY24" t="e">
        <f>AND('Data Extract File Ty'!B338,"AAAAAHfvfTI=")</f>
        <v>#VALUE!</v>
      </c>
      <c r="AZ24" t="e">
        <f>AND('Data Extract File Ty'!C338,"AAAAAHfvfTM=")</f>
        <v>#VALUE!</v>
      </c>
      <c r="BA24" t="e">
        <f>AND('Data Extract File Ty'!D338,"AAAAAHfvfTQ=")</f>
        <v>#VALUE!</v>
      </c>
      <c r="BB24">
        <f>IF('Data Extract File Ty'!339:339,"AAAAAHfvfTU=",0)</f>
        <v>0</v>
      </c>
      <c r="BC24" t="e">
        <f>AND('Data Extract File Ty'!A339,"AAAAAHfvfTY=")</f>
        <v>#VALUE!</v>
      </c>
      <c r="BD24" t="e">
        <f>AND('Data Extract File Ty'!B339,"AAAAAHfvfTc=")</f>
        <v>#VALUE!</v>
      </c>
      <c r="BE24" t="e">
        <f>AND('Data Extract File Ty'!C339,"AAAAAHfvfTg=")</f>
        <v>#VALUE!</v>
      </c>
      <c r="BF24" t="e">
        <f>AND('Data Extract File Ty'!D339,"AAAAAHfvfTk=")</f>
        <v>#VALUE!</v>
      </c>
      <c r="BG24">
        <f>IF('Data Extract File Ty'!340:340,"AAAAAHfvfTo=",0)</f>
        <v>0</v>
      </c>
      <c r="BH24" t="e">
        <f>AND('Data Extract File Ty'!A340,"AAAAAHfvfTs=")</f>
        <v>#VALUE!</v>
      </c>
      <c r="BI24" t="e">
        <f>AND('Data Extract File Ty'!B340,"AAAAAHfvfTw=")</f>
        <v>#VALUE!</v>
      </c>
      <c r="BJ24" t="e">
        <f>AND('Data Extract File Ty'!C340,"AAAAAHfvfT0=")</f>
        <v>#VALUE!</v>
      </c>
      <c r="BK24" t="e">
        <f>AND('Data Extract File Ty'!D340,"AAAAAHfvfT4=")</f>
        <v>#VALUE!</v>
      </c>
      <c r="BL24">
        <f>IF('Data Extract File Ty'!341:341,"AAAAAHfvfT8=",0)</f>
        <v>0</v>
      </c>
      <c r="BM24" t="e">
        <f>AND('Data Extract File Ty'!A341,"AAAAAHfvfUA=")</f>
        <v>#VALUE!</v>
      </c>
      <c r="BN24" t="e">
        <f>AND('Data Extract File Ty'!B341,"AAAAAHfvfUE=")</f>
        <v>#VALUE!</v>
      </c>
      <c r="BO24" t="e">
        <f>AND('Data Extract File Ty'!C341,"AAAAAHfvfUI=")</f>
        <v>#VALUE!</v>
      </c>
      <c r="BP24" t="e">
        <f>AND('Data Extract File Ty'!D341,"AAAAAHfvfUM=")</f>
        <v>#VALUE!</v>
      </c>
      <c r="BQ24">
        <f>IF('Data Extract File Ty'!342:342,"AAAAAHfvfUQ=",0)</f>
        <v>0</v>
      </c>
      <c r="BR24" t="e">
        <f>AND('Data Extract File Ty'!A342,"AAAAAHfvfUU=")</f>
        <v>#VALUE!</v>
      </c>
      <c r="BS24" t="e">
        <f>AND('Data Extract File Ty'!B342,"AAAAAHfvfUY=")</f>
        <v>#VALUE!</v>
      </c>
      <c r="BT24" t="e">
        <f>AND('Data Extract File Ty'!C342,"AAAAAHfvfUc=")</f>
        <v>#VALUE!</v>
      </c>
      <c r="BU24" t="e">
        <f>AND('Data Extract File Ty'!D342,"AAAAAHfvfUg=")</f>
        <v>#VALUE!</v>
      </c>
      <c r="BV24">
        <f>IF('Data Extract File Ty'!343:343,"AAAAAHfvfUk=",0)</f>
        <v>0</v>
      </c>
      <c r="BW24" t="e">
        <f>AND('Data Extract File Ty'!A343,"AAAAAHfvfUo=")</f>
        <v>#VALUE!</v>
      </c>
      <c r="BX24" t="e">
        <f>AND('Data Extract File Ty'!B343,"AAAAAHfvfUs=")</f>
        <v>#VALUE!</v>
      </c>
      <c r="BY24" t="e">
        <f>AND('Data Extract File Ty'!C343,"AAAAAHfvfUw=")</f>
        <v>#VALUE!</v>
      </c>
      <c r="BZ24" t="e">
        <f>AND('Data Extract File Ty'!D343,"AAAAAHfvfU0=")</f>
        <v>#VALUE!</v>
      </c>
      <c r="CA24">
        <f>IF('Data Extract File Ty'!344:344,"AAAAAHfvfU4=",0)</f>
        <v>0</v>
      </c>
      <c r="CB24" t="e">
        <f>AND('Data Extract File Ty'!A344,"AAAAAHfvfU8=")</f>
        <v>#VALUE!</v>
      </c>
      <c r="CC24" t="e">
        <f>AND('Data Extract File Ty'!B344,"AAAAAHfvfVA=")</f>
        <v>#VALUE!</v>
      </c>
      <c r="CD24" t="e">
        <f>AND('Data Extract File Ty'!C344,"AAAAAHfvfVE=")</f>
        <v>#VALUE!</v>
      </c>
      <c r="CE24" t="e">
        <f>AND('Data Extract File Ty'!D344,"AAAAAHfvfVI=")</f>
        <v>#VALUE!</v>
      </c>
      <c r="CF24">
        <f>IF('Data Extract File Ty'!345:345,"AAAAAHfvfVM=",0)</f>
        <v>0</v>
      </c>
      <c r="CG24" t="e">
        <f>AND('Data Extract File Ty'!A345,"AAAAAHfvfVQ=")</f>
        <v>#VALUE!</v>
      </c>
      <c r="CH24" t="e">
        <f>AND('Data Extract File Ty'!B345,"AAAAAHfvfVU=")</f>
        <v>#VALUE!</v>
      </c>
      <c r="CI24" t="e">
        <f>AND('Data Extract File Ty'!C345,"AAAAAHfvfVY=")</f>
        <v>#VALUE!</v>
      </c>
      <c r="CJ24" t="e">
        <f>AND('Data Extract File Ty'!D345,"AAAAAHfvfVc=")</f>
        <v>#VALUE!</v>
      </c>
      <c r="CK24">
        <f>IF('Data Extract File Ty'!346:346,"AAAAAHfvfVg=",0)</f>
        <v>0</v>
      </c>
      <c r="CL24" t="e">
        <f>AND('Data Extract File Ty'!A346,"AAAAAHfvfVk=")</f>
        <v>#VALUE!</v>
      </c>
      <c r="CM24" t="e">
        <f>AND('Data Extract File Ty'!B346,"AAAAAHfvfVo=")</f>
        <v>#VALUE!</v>
      </c>
      <c r="CN24" t="e">
        <f>AND('Data Extract File Ty'!C346,"AAAAAHfvfVs=")</f>
        <v>#VALUE!</v>
      </c>
      <c r="CO24" t="e">
        <f>AND('Data Extract File Ty'!D346,"AAAAAHfvfVw=")</f>
        <v>#VALUE!</v>
      </c>
      <c r="CP24">
        <f>IF('Data Extract File Ty'!347:347,"AAAAAHfvfV0=",0)</f>
        <v>0</v>
      </c>
      <c r="CQ24" t="e">
        <f>AND('Data Extract File Ty'!A347,"AAAAAHfvfV4=")</f>
        <v>#VALUE!</v>
      </c>
      <c r="CR24" t="e">
        <f>AND('Data Extract File Ty'!B347,"AAAAAHfvfV8=")</f>
        <v>#VALUE!</v>
      </c>
      <c r="CS24" t="e">
        <f>AND('Data Extract File Ty'!C347,"AAAAAHfvfWA=")</f>
        <v>#VALUE!</v>
      </c>
      <c r="CT24" t="e">
        <f>AND('Data Extract File Ty'!D347,"AAAAAHfvfWE=")</f>
        <v>#VALUE!</v>
      </c>
      <c r="CU24">
        <f>IF('Data Extract File Ty'!348:348,"AAAAAHfvfWI=",0)</f>
        <v>0</v>
      </c>
      <c r="CV24" t="e">
        <f>AND('Data Extract File Ty'!A348,"AAAAAHfvfWM=")</f>
        <v>#VALUE!</v>
      </c>
      <c r="CW24" t="e">
        <f>AND('Data Extract File Ty'!B348,"AAAAAHfvfWQ=")</f>
        <v>#VALUE!</v>
      </c>
      <c r="CX24" t="e">
        <f>AND('Data Extract File Ty'!C348,"AAAAAHfvfWU=")</f>
        <v>#VALUE!</v>
      </c>
      <c r="CY24" t="e">
        <f>AND('Data Extract File Ty'!D348,"AAAAAHfvfWY=")</f>
        <v>#VALUE!</v>
      </c>
      <c r="CZ24">
        <f>IF('Data Extract File Ty'!349:349,"AAAAAHfvfWc=",0)</f>
        <v>0</v>
      </c>
      <c r="DA24" t="e">
        <f>AND('Data Extract File Ty'!A349,"AAAAAHfvfWg=")</f>
        <v>#VALUE!</v>
      </c>
      <c r="DB24" t="e">
        <f>AND('Data Extract File Ty'!B349,"AAAAAHfvfWk=")</f>
        <v>#VALUE!</v>
      </c>
      <c r="DC24" t="e">
        <f>AND('Data Extract File Ty'!C349,"AAAAAHfvfWo=")</f>
        <v>#VALUE!</v>
      </c>
      <c r="DD24" t="e">
        <f>AND('Data Extract File Ty'!D349,"AAAAAHfvfWs=")</f>
        <v>#VALUE!</v>
      </c>
      <c r="DE24">
        <f>IF('Data Extract File Ty'!350:350,"AAAAAHfvfWw=",0)</f>
        <v>0</v>
      </c>
      <c r="DF24" t="e">
        <f>AND('Data Extract File Ty'!A350,"AAAAAHfvfW0=")</f>
        <v>#VALUE!</v>
      </c>
      <c r="DG24" t="e">
        <f>AND('Data Extract File Ty'!B350,"AAAAAHfvfW4=")</f>
        <v>#VALUE!</v>
      </c>
      <c r="DH24" t="e">
        <f>AND('Data Extract File Ty'!C350,"AAAAAHfvfW8=")</f>
        <v>#VALUE!</v>
      </c>
      <c r="DI24" t="e">
        <f>AND('Data Extract File Ty'!D350,"AAAAAHfvfXA=")</f>
        <v>#VALUE!</v>
      </c>
      <c r="DJ24">
        <f>IF('Data Extract File Ty'!351:351,"AAAAAHfvfXE=",0)</f>
        <v>0</v>
      </c>
      <c r="DK24" t="e">
        <f>AND('Data Extract File Ty'!A351,"AAAAAHfvfXI=")</f>
        <v>#VALUE!</v>
      </c>
      <c r="DL24" t="e">
        <f>AND('Data Extract File Ty'!B351,"AAAAAHfvfXM=")</f>
        <v>#VALUE!</v>
      </c>
      <c r="DM24" t="e">
        <f>AND('Data Extract File Ty'!C351,"AAAAAHfvfXQ=")</f>
        <v>#VALUE!</v>
      </c>
      <c r="DN24" t="e">
        <f>AND('Data Extract File Ty'!D351,"AAAAAHfvfXU=")</f>
        <v>#VALUE!</v>
      </c>
      <c r="DO24">
        <f>IF('Data Extract File Ty'!352:352,"AAAAAHfvfXY=",0)</f>
        <v>0</v>
      </c>
      <c r="DP24" t="e">
        <f>AND('Data Extract File Ty'!A352,"AAAAAHfvfXc=")</f>
        <v>#VALUE!</v>
      </c>
      <c r="DQ24" t="e">
        <f>AND('Data Extract File Ty'!B352,"AAAAAHfvfXg=")</f>
        <v>#VALUE!</v>
      </c>
      <c r="DR24" t="e">
        <f>AND('Data Extract File Ty'!C352,"AAAAAHfvfXk=")</f>
        <v>#VALUE!</v>
      </c>
      <c r="DS24" t="e">
        <f>AND('Data Extract File Ty'!D352,"AAAAAHfvfXo=")</f>
        <v>#VALUE!</v>
      </c>
      <c r="DT24">
        <f>IF('Data Extract File Ty'!353:353,"AAAAAHfvfXs=",0)</f>
        <v>0</v>
      </c>
      <c r="DU24" t="e">
        <f>AND('Data Extract File Ty'!A353,"AAAAAHfvfXw=")</f>
        <v>#VALUE!</v>
      </c>
      <c r="DV24" t="e">
        <f>AND('Data Extract File Ty'!B353,"AAAAAHfvfX0=")</f>
        <v>#VALUE!</v>
      </c>
      <c r="DW24" t="e">
        <f>AND('Data Extract File Ty'!C353,"AAAAAHfvfX4=")</f>
        <v>#VALUE!</v>
      </c>
      <c r="DX24" t="e">
        <f>AND('Data Extract File Ty'!D353,"AAAAAHfvfX8=")</f>
        <v>#VALUE!</v>
      </c>
      <c r="DY24">
        <f>IF('Data Extract File Ty'!354:354,"AAAAAHfvfYA=",0)</f>
        <v>0</v>
      </c>
      <c r="DZ24" t="e">
        <f>AND('Data Extract File Ty'!A354,"AAAAAHfvfYE=")</f>
        <v>#VALUE!</v>
      </c>
      <c r="EA24" t="e">
        <f>AND('Data Extract File Ty'!B354,"AAAAAHfvfYI=")</f>
        <v>#VALUE!</v>
      </c>
      <c r="EB24" t="e">
        <f>AND('Data Extract File Ty'!C354,"AAAAAHfvfYM=")</f>
        <v>#VALUE!</v>
      </c>
      <c r="EC24" t="e">
        <f>AND('Data Extract File Ty'!D354,"AAAAAHfvfYQ=")</f>
        <v>#VALUE!</v>
      </c>
      <c r="ED24">
        <f>IF('Data Extract File Ty'!355:355,"AAAAAHfvfYU=",0)</f>
        <v>0</v>
      </c>
      <c r="EE24" t="e">
        <f>AND('Data Extract File Ty'!A355,"AAAAAHfvfYY=")</f>
        <v>#VALUE!</v>
      </c>
      <c r="EF24" t="e">
        <f>AND('Data Extract File Ty'!B355,"AAAAAHfvfYc=")</f>
        <v>#VALUE!</v>
      </c>
      <c r="EG24" t="e">
        <f>AND('Data Extract File Ty'!C355,"AAAAAHfvfYg=")</f>
        <v>#VALUE!</v>
      </c>
      <c r="EH24" t="e">
        <f>AND('Data Extract File Ty'!D355,"AAAAAHfvfYk=")</f>
        <v>#VALUE!</v>
      </c>
      <c r="EI24">
        <f>IF('Data Extract File Ty'!356:356,"AAAAAHfvfYo=",0)</f>
        <v>0</v>
      </c>
      <c r="EJ24" t="e">
        <f>AND('Data Extract File Ty'!A356,"AAAAAHfvfYs=")</f>
        <v>#VALUE!</v>
      </c>
      <c r="EK24" t="e">
        <f>AND('Data Extract File Ty'!B356,"AAAAAHfvfYw=")</f>
        <v>#VALUE!</v>
      </c>
      <c r="EL24" t="e">
        <f>AND('Data Extract File Ty'!C356,"AAAAAHfvfY0=")</f>
        <v>#VALUE!</v>
      </c>
      <c r="EM24" t="e">
        <f>AND('Data Extract File Ty'!D356,"AAAAAHfvfY4=")</f>
        <v>#VALUE!</v>
      </c>
      <c r="EN24">
        <f>IF('Data Extract File Ty'!357:357,"AAAAAHfvfY8=",0)</f>
        <v>0</v>
      </c>
      <c r="EO24" t="e">
        <f>AND('Data Extract File Ty'!A357,"AAAAAHfvfZA=")</f>
        <v>#VALUE!</v>
      </c>
      <c r="EP24" t="e">
        <f>AND('Data Extract File Ty'!B357,"AAAAAHfvfZE=")</f>
        <v>#VALUE!</v>
      </c>
      <c r="EQ24" t="e">
        <f>AND('Data Extract File Ty'!C357,"AAAAAHfvfZI=")</f>
        <v>#VALUE!</v>
      </c>
      <c r="ER24" t="e">
        <f>AND('Data Extract File Ty'!D357,"AAAAAHfvfZM=")</f>
        <v>#VALUE!</v>
      </c>
      <c r="ES24">
        <f>IF('Data Extract File Ty'!358:358,"AAAAAHfvfZQ=",0)</f>
        <v>0</v>
      </c>
      <c r="ET24" t="e">
        <f>AND('Data Extract File Ty'!A358,"AAAAAHfvfZU=")</f>
        <v>#VALUE!</v>
      </c>
      <c r="EU24" t="e">
        <f>AND('Data Extract File Ty'!B358,"AAAAAHfvfZY=")</f>
        <v>#VALUE!</v>
      </c>
      <c r="EV24" t="e">
        <f>AND('Data Extract File Ty'!C358,"AAAAAHfvfZc=")</f>
        <v>#VALUE!</v>
      </c>
      <c r="EW24" t="e">
        <f>AND('Data Extract File Ty'!D358,"AAAAAHfvfZg=")</f>
        <v>#VALUE!</v>
      </c>
      <c r="EX24">
        <f>IF('Data Extract File Ty'!359:359,"AAAAAHfvfZk=",0)</f>
        <v>0</v>
      </c>
      <c r="EY24" t="e">
        <f>AND('Data Extract File Ty'!A359,"AAAAAHfvfZo=")</f>
        <v>#VALUE!</v>
      </c>
      <c r="EZ24" t="e">
        <f>AND('Data Extract File Ty'!B359,"AAAAAHfvfZs=")</f>
        <v>#VALUE!</v>
      </c>
      <c r="FA24" t="e">
        <f>AND('Data Extract File Ty'!C359,"AAAAAHfvfZw=")</f>
        <v>#VALUE!</v>
      </c>
      <c r="FB24" t="e">
        <f>AND('Data Extract File Ty'!D359,"AAAAAHfvfZ0=")</f>
        <v>#VALUE!</v>
      </c>
      <c r="FC24">
        <f>IF('Data Extract File Ty'!360:360,"AAAAAHfvfZ4=",0)</f>
        <v>0</v>
      </c>
      <c r="FD24" t="e">
        <f>AND('Data Extract File Ty'!A360,"AAAAAHfvfZ8=")</f>
        <v>#VALUE!</v>
      </c>
      <c r="FE24" t="e">
        <f>AND('Data Extract File Ty'!B360,"AAAAAHfvfaA=")</f>
        <v>#VALUE!</v>
      </c>
      <c r="FF24" t="e">
        <f>AND('Data Extract File Ty'!C360,"AAAAAHfvfaE=")</f>
        <v>#VALUE!</v>
      </c>
      <c r="FG24" t="e">
        <f>AND('Data Extract File Ty'!D360,"AAAAAHfvfaI=")</f>
        <v>#VALUE!</v>
      </c>
      <c r="FH24">
        <f>IF('Data Extract File Ty'!361:361,"AAAAAHfvfaM=",0)</f>
        <v>0</v>
      </c>
      <c r="FI24" t="e">
        <f>AND('Data Extract File Ty'!A361,"AAAAAHfvfaQ=")</f>
        <v>#VALUE!</v>
      </c>
      <c r="FJ24" t="e">
        <f>AND('Data Extract File Ty'!B361,"AAAAAHfvfaU=")</f>
        <v>#VALUE!</v>
      </c>
      <c r="FK24" t="e">
        <f>AND('Data Extract File Ty'!C361,"AAAAAHfvfaY=")</f>
        <v>#VALUE!</v>
      </c>
      <c r="FL24" t="e">
        <f>AND('Data Extract File Ty'!D361,"AAAAAHfvfac=")</f>
        <v>#VALUE!</v>
      </c>
      <c r="FM24">
        <f>IF('Data Extract File Ty'!362:362,"AAAAAHfvfag=",0)</f>
        <v>0</v>
      </c>
      <c r="FN24" t="e">
        <f>AND('Data Extract File Ty'!A362,"AAAAAHfvfak=")</f>
        <v>#VALUE!</v>
      </c>
      <c r="FO24" t="e">
        <f>AND('Data Extract File Ty'!B362,"AAAAAHfvfao=")</f>
        <v>#VALUE!</v>
      </c>
      <c r="FP24" t="e">
        <f>AND('Data Extract File Ty'!C362,"AAAAAHfvfas=")</f>
        <v>#VALUE!</v>
      </c>
      <c r="FQ24" t="e">
        <f>AND('Data Extract File Ty'!D362,"AAAAAHfvfaw=")</f>
        <v>#VALUE!</v>
      </c>
      <c r="FR24">
        <f>IF('Data Extract File Ty'!363:363,"AAAAAHfvfa0=",0)</f>
        <v>0</v>
      </c>
      <c r="FS24" t="e">
        <f>AND('Data Extract File Ty'!A363,"AAAAAHfvfa4=")</f>
        <v>#VALUE!</v>
      </c>
      <c r="FT24" t="e">
        <f>AND('Data Extract File Ty'!B363,"AAAAAHfvfa8=")</f>
        <v>#VALUE!</v>
      </c>
      <c r="FU24" t="e">
        <f>AND('Data Extract File Ty'!C363,"AAAAAHfvfbA=")</f>
        <v>#VALUE!</v>
      </c>
      <c r="FV24" t="e">
        <f>AND('Data Extract File Ty'!D363,"AAAAAHfvfbE=")</f>
        <v>#VALUE!</v>
      </c>
      <c r="FW24">
        <f>IF('Data Extract File Ty'!364:364,"AAAAAHfvfbI=",0)</f>
        <v>0</v>
      </c>
      <c r="FX24" t="e">
        <f>AND('Data Extract File Ty'!A364,"AAAAAHfvfbM=")</f>
        <v>#VALUE!</v>
      </c>
      <c r="FY24" t="e">
        <f>AND('Data Extract File Ty'!B364,"AAAAAHfvfbQ=")</f>
        <v>#VALUE!</v>
      </c>
      <c r="FZ24" t="e">
        <f>AND('Data Extract File Ty'!C364,"AAAAAHfvfbU=")</f>
        <v>#VALUE!</v>
      </c>
      <c r="GA24" t="e">
        <f>AND('Data Extract File Ty'!D364,"AAAAAHfvfbY=")</f>
        <v>#VALUE!</v>
      </c>
      <c r="GB24">
        <f>IF('Data Extract File Ty'!365:365,"AAAAAHfvfbc=",0)</f>
        <v>0</v>
      </c>
      <c r="GC24" t="e">
        <f>AND('Data Extract File Ty'!A365,"AAAAAHfvfbg=")</f>
        <v>#VALUE!</v>
      </c>
      <c r="GD24" t="e">
        <f>AND('Data Extract File Ty'!B365,"AAAAAHfvfbk=")</f>
        <v>#VALUE!</v>
      </c>
      <c r="GE24" t="e">
        <f>AND('Data Extract File Ty'!C365,"AAAAAHfvfbo=")</f>
        <v>#VALUE!</v>
      </c>
      <c r="GF24" t="e">
        <f>AND('Data Extract File Ty'!D365,"AAAAAHfvfbs=")</f>
        <v>#VALUE!</v>
      </c>
      <c r="GG24">
        <f>IF('Data Extract File Ty'!366:366,"AAAAAHfvfbw=",0)</f>
        <v>0</v>
      </c>
      <c r="GH24" t="e">
        <f>AND('Data Extract File Ty'!A366,"AAAAAHfvfb0=")</f>
        <v>#VALUE!</v>
      </c>
      <c r="GI24" t="e">
        <f>AND('Data Extract File Ty'!B366,"AAAAAHfvfb4=")</f>
        <v>#VALUE!</v>
      </c>
      <c r="GJ24" t="e">
        <f>AND('Data Extract File Ty'!C366,"AAAAAHfvfb8=")</f>
        <v>#VALUE!</v>
      </c>
      <c r="GK24" t="e">
        <f>AND('Data Extract File Ty'!D366,"AAAAAHfvfcA=")</f>
        <v>#VALUE!</v>
      </c>
      <c r="GL24">
        <f>IF('Data Extract File Ty'!367:367,"AAAAAHfvfcE=",0)</f>
        <v>0</v>
      </c>
      <c r="GM24" t="e">
        <f>AND('Data Extract File Ty'!A367,"AAAAAHfvfcI=")</f>
        <v>#VALUE!</v>
      </c>
      <c r="GN24" t="e">
        <f>AND('Data Extract File Ty'!B367,"AAAAAHfvfcM=")</f>
        <v>#VALUE!</v>
      </c>
      <c r="GO24" t="e">
        <f>AND('Data Extract File Ty'!C367,"AAAAAHfvfcQ=")</f>
        <v>#VALUE!</v>
      </c>
      <c r="GP24" t="e">
        <f>AND('Data Extract File Ty'!D367,"AAAAAHfvfcU=")</f>
        <v>#VALUE!</v>
      </c>
      <c r="GQ24">
        <f>IF('Data Extract File Ty'!368:368,"AAAAAHfvfcY=",0)</f>
        <v>0</v>
      </c>
      <c r="GR24" t="e">
        <f>AND('Data Extract File Ty'!A368,"AAAAAHfvfcc=")</f>
        <v>#VALUE!</v>
      </c>
      <c r="GS24" t="e">
        <f>AND('Data Extract File Ty'!B368,"AAAAAHfvfcg=")</f>
        <v>#VALUE!</v>
      </c>
      <c r="GT24" t="e">
        <f>AND('Data Extract File Ty'!C368,"AAAAAHfvfck=")</f>
        <v>#VALUE!</v>
      </c>
      <c r="GU24" t="e">
        <f>AND('Data Extract File Ty'!D368,"AAAAAHfvfco=")</f>
        <v>#VALUE!</v>
      </c>
      <c r="GV24">
        <f>IF('Data Extract File Ty'!369:369,"AAAAAHfvfcs=",0)</f>
        <v>0</v>
      </c>
      <c r="GW24" t="e">
        <f>AND('Data Extract File Ty'!A369,"AAAAAHfvfcw=")</f>
        <v>#VALUE!</v>
      </c>
      <c r="GX24" t="e">
        <f>AND('Data Extract File Ty'!B369,"AAAAAHfvfc0=")</f>
        <v>#VALUE!</v>
      </c>
      <c r="GY24" t="e">
        <f>AND('Data Extract File Ty'!C369,"AAAAAHfvfc4=")</f>
        <v>#VALUE!</v>
      </c>
      <c r="GZ24" t="e">
        <f>AND('Data Extract File Ty'!D369,"AAAAAHfvfc8=")</f>
        <v>#VALUE!</v>
      </c>
      <c r="HA24">
        <f>IF('Data Extract File Ty'!370:370,"AAAAAHfvfdA=",0)</f>
        <v>0</v>
      </c>
      <c r="HB24" t="e">
        <f>AND('Data Extract File Ty'!A370,"AAAAAHfvfdE=")</f>
        <v>#VALUE!</v>
      </c>
      <c r="HC24" t="e">
        <f>AND('Data Extract File Ty'!B370,"AAAAAHfvfdI=")</f>
        <v>#VALUE!</v>
      </c>
      <c r="HD24" t="e">
        <f>AND('Data Extract File Ty'!C370,"AAAAAHfvfdM=")</f>
        <v>#VALUE!</v>
      </c>
      <c r="HE24" t="e">
        <f>AND('Data Extract File Ty'!D370,"AAAAAHfvfdQ=")</f>
        <v>#VALUE!</v>
      </c>
      <c r="HF24">
        <f>IF('Data Extract File Ty'!371:371,"AAAAAHfvfdU=",0)</f>
        <v>0</v>
      </c>
      <c r="HG24" t="e">
        <f>AND('Data Extract File Ty'!A371,"AAAAAHfvfdY=")</f>
        <v>#VALUE!</v>
      </c>
      <c r="HH24" t="e">
        <f>AND('Data Extract File Ty'!B371,"AAAAAHfvfdc=")</f>
        <v>#VALUE!</v>
      </c>
      <c r="HI24" t="e">
        <f>AND('Data Extract File Ty'!C371,"AAAAAHfvfdg=")</f>
        <v>#VALUE!</v>
      </c>
      <c r="HJ24" t="e">
        <f>AND('Data Extract File Ty'!D371,"AAAAAHfvfdk=")</f>
        <v>#VALUE!</v>
      </c>
      <c r="HK24">
        <f>IF('Data Extract File Ty'!372:372,"AAAAAHfvfdo=",0)</f>
        <v>0</v>
      </c>
      <c r="HL24" t="e">
        <f>AND('Data Extract File Ty'!A372,"AAAAAHfvfds=")</f>
        <v>#VALUE!</v>
      </c>
      <c r="HM24" t="e">
        <f>AND('Data Extract File Ty'!B372,"AAAAAHfvfdw=")</f>
        <v>#VALUE!</v>
      </c>
      <c r="HN24" t="e">
        <f>AND('Data Extract File Ty'!C372,"AAAAAHfvfd0=")</f>
        <v>#VALUE!</v>
      </c>
      <c r="HO24" t="e">
        <f>AND('Data Extract File Ty'!D372,"AAAAAHfvfd4=")</f>
        <v>#VALUE!</v>
      </c>
      <c r="HP24">
        <f>IF('Data Extract File Ty'!373:373,"AAAAAHfvfd8=",0)</f>
        <v>0</v>
      </c>
      <c r="HQ24" t="e">
        <f>AND('Data Extract File Ty'!A373,"AAAAAHfvfeA=")</f>
        <v>#VALUE!</v>
      </c>
      <c r="HR24" t="e">
        <f>AND('Data Extract File Ty'!B373,"AAAAAHfvfeE=")</f>
        <v>#VALUE!</v>
      </c>
      <c r="HS24" t="e">
        <f>AND('Data Extract File Ty'!C373,"AAAAAHfvfeI=")</f>
        <v>#VALUE!</v>
      </c>
      <c r="HT24" t="e">
        <f>AND('Data Extract File Ty'!D373,"AAAAAHfvfeM=")</f>
        <v>#VALUE!</v>
      </c>
      <c r="HU24">
        <f>IF('Data Extract File Ty'!374:374,"AAAAAHfvfeQ=",0)</f>
        <v>0</v>
      </c>
      <c r="HV24" t="e">
        <f>AND('Data Extract File Ty'!A374,"AAAAAHfvfeU=")</f>
        <v>#VALUE!</v>
      </c>
      <c r="HW24" t="e">
        <f>AND('Data Extract File Ty'!B374,"AAAAAHfvfeY=")</f>
        <v>#VALUE!</v>
      </c>
      <c r="HX24" t="e">
        <f>AND('Data Extract File Ty'!C374,"AAAAAHfvfec=")</f>
        <v>#VALUE!</v>
      </c>
      <c r="HY24" t="e">
        <f>AND('Data Extract File Ty'!D374,"AAAAAHfvfeg=")</f>
        <v>#VALUE!</v>
      </c>
      <c r="HZ24">
        <f>IF('Data Extract File Ty'!375:375,"AAAAAHfvfek=",0)</f>
        <v>0</v>
      </c>
      <c r="IA24" t="e">
        <f>AND('Data Extract File Ty'!A375,"AAAAAHfvfeo=")</f>
        <v>#VALUE!</v>
      </c>
      <c r="IB24" t="e">
        <f>AND('Data Extract File Ty'!B375,"AAAAAHfvfes=")</f>
        <v>#VALUE!</v>
      </c>
      <c r="IC24" t="e">
        <f>AND('Data Extract File Ty'!C375,"AAAAAHfvfew=")</f>
        <v>#VALUE!</v>
      </c>
      <c r="ID24" t="e">
        <f>AND('Data Extract File Ty'!D375,"AAAAAHfvfe0=")</f>
        <v>#VALUE!</v>
      </c>
      <c r="IE24">
        <f>IF('Data Extract File Ty'!376:376,"AAAAAHfvfe4=",0)</f>
        <v>0</v>
      </c>
      <c r="IF24" t="e">
        <f>AND('Data Extract File Ty'!A376,"AAAAAHfvfe8=")</f>
        <v>#VALUE!</v>
      </c>
      <c r="IG24" t="e">
        <f>AND('Data Extract File Ty'!B376,"AAAAAHfvffA=")</f>
        <v>#VALUE!</v>
      </c>
      <c r="IH24" t="e">
        <f>AND('Data Extract File Ty'!C376,"AAAAAHfvffE=")</f>
        <v>#VALUE!</v>
      </c>
      <c r="II24" t="e">
        <f>AND('Data Extract File Ty'!D376,"AAAAAHfvffI=")</f>
        <v>#VALUE!</v>
      </c>
      <c r="IJ24">
        <f>IF('Data Extract File Ty'!377:377,"AAAAAHfvffM=",0)</f>
        <v>0</v>
      </c>
      <c r="IK24" t="e">
        <f>AND('Data Extract File Ty'!A377,"AAAAAHfvffQ=")</f>
        <v>#VALUE!</v>
      </c>
      <c r="IL24" t="e">
        <f>AND('Data Extract File Ty'!B377,"AAAAAHfvffU=")</f>
        <v>#VALUE!</v>
      </c>
      <c r="IM24" t="e">
        <f>AND('Data Extract File Ty'!C377,"AAAAAHfvffY=")</f>
        <v>#VALUE!</v>
      </c>
      <c r="IN24" t="e">
        <f>AND('Data Extract File Ty'!D377,"AAAAAHfvffc=")</f>
        <v>#VALUE!</v>
      </c>
      <c r="IO24">
        <f>IF('Data Extract File Ty'!378:378,"AAAAAHfvffg=",0)</f>
        <v>0</v>
      </c>
      <c r="IP24" t="e">
        <f>AND('Data Extract File Ty'!A378,"AAAAAHfvffk=")</f>
        <v>#VALUE!</v>
      </c>
      <c r="IQ24" t="e">
        <f>AND('Data Extract File Ty'!B378,"AAAAAHfvffo=")</f>
        <v>#VALUE!</v>
      </c>
      <c r="IR24" t="e">
        <f>AND('Data Extract File Ty'!C378,"AAAAAHfvffs=")</f>
        <v>#VALUE!</v>
      </c>
      <c r="IS24" t="e">
        <f>AND('Data Extract File Ty'!D378,"AAAAAHfvffw=")</f>
        <v>#VALUE!</v>
      </c>
      <c r="IT24">
        <f>IF('Data Extract File Ty'!379:379,"AAAAAHfvff0=",0)</f>
        <v>0</v>
      </c>
      <c r="IU24" t="e">
        <f>AND('Data Extract File Ty'!A379,"AAAAAHfvff4=")</f>
        <v>#VALUE!</v>
      </c>
      <c r="IV24" t="e">
        <f>AND('Data Extract File Ty'!B379,"AAAAAHfvff8=")</f>
        <v>#VALUE!</v>
      </c>
    </row>
    <row r="25" spans="1:256" x14ac:dyDescent="0.2">
      <c r="A25" t="e">
        <f>AND('Data Extract File Ty'!C379,"AAAAAFcfrQA=")</f>
        <v>#VALUE!</v>
      </c>
      <c r="B25" t="e">
        <f>AND('Data Extract File Ty'!D379,"AAAAAFcfrQE=")</f>
        <v>#VALUE!</v>
      </c>
      <c r="C25" t="e">
        <f>IF('Data Extract File Ty'!380:380,"AAAAAFcfrQI=",0)</f>
        <v>#VALUE!</v>
      </c>
      <c r="D25" t="e">
        <f>AND('Data Extract File Ty'!A380,"AAAAAFcfrQM=")</f>
        <v>#VALUE!</v>
      </c>
      <c r="E25" t="e">
        <f>AND('Data Extract File Ty'!B380,"AAAAAFcfrQQ=")</f>
        <v>#VALUE!</v>
      </c>
      <c r="F25" t="e">
        <f>AND('Data Extract File Ty'!C380,"AAAAAFcfrQU=")</f>
        <v>#VALUE!</v>
      </c>
      <c r="G25" t="e">
        <f>AND('Data Extract File Ty'!D380,"AAAAAFcfrQY=")</f>
        <v>#VALUE!</v>
      </c>
      <c r="H25">
        <f>IF('Data Extract File Ty'!381:381,"AAAAAFcfrQc=",0)</f>
        <v>0</v>
      </c>
      <c r="I25" t="e">
        <f>AND('Data Extract File Ty'!A381,"AAAAAFcfrQg=")</f>
        <v>#VALUE!</v>
      </c>
      <c r="J25" t="e">
        <f>AND('Data Extract File Ty'!B381,"AAAAAFcfrQk=")</f>
        <v>#VALUE!</v>
      </c>
      <c r="K25" t="e">
        <f>AND('Data Extract File Ty'!C381,"AAAAAFcfrQo=")</f>
        <v>#VALUE!</v>
      </c>
      <c r="L25" t="e">
        <f>AND('Data Extract File Ty'!D381,"AAAAAFcfrQs=")</f>
        <v>#VALUE!</v>
      </c>
      <c r="M25">
        <f>IF('Data Extract File Ty'!382:382,"AAAAAFcfrQw=",0)</f>
        <v>0</v>
      </c>
      <c r="N25" t="e">
        <f>AND('Data Extract File Ty'!A382,"AAAAAFcfrQ0=")</f>
        <v>#VALUE!</v>
      </c>
      <c r="O25" t="e">
        <f>AND('Data Extract File Ty'!B382,"AAAAAFcfrQ4=")</f>
        <v>#VALUE!</v>
      </c>
      <c r="P25" t="e">
        <f>AND('Data Extract File Ty'!C382,"AAAAAFcfrQ8=")</f>
        <v>#VALUE!</v>
      </c>
      <c r="Q25" t="e">
        <f>AND('Data Extract File Ty'!D382,"AAAAAFcfrRA=")</f>
        <v>#VALUE!</v>
      </c>
      <c r="R25">
        <f>IF('Data Extract File Ty'!383:383,"AAAAAFcfrRE=",0)</f>
        <v>0</v>
      </c>
      <c r="S25" t="e">
        <f>AND('Data Extract File Ty'!A383,"AAAAAFcfrRI=")</f>
        <v>#VALUE!</v>
      </c>
      <c r="T25" t="e">
        <f>AND('Data Extract File Ty'!B383,"AAAAAFcfrRM=")</f>
        <v>#VALUE!</v>
      </c>
      <c r="U25" t="e">
        <f>AND('Data Extract File Ty'!C383,"AAAAAFcfrRQ=")</f>
        <v>#VALUE!</v>
      </c>
      <c r="V25" t="e">
        <f>AND('Data Extract File Ty'!D383,"AAAAAFcfrRU=")</f>
        <v>#VALUE!</v>
      </c>
      <c r="W25">
        <f>IF('Data Extract File Ty'!384:384,"AAAAAFcfrRY=",0)</f>
        <v>0</v>
      </c>
      <c r="X25" t="e">
        <f>AND('Data Extract File Ty'!A384,"AAAAAFcfrRc=")</f>
        <v>#VALUE!</v>
      </c>
      <c r="Y25" t="e">
        <f>AND('Data Extract File Ty'!B384,"AAAAAFcfrRg=")</f>
        <v>#VALUE!</v>
      </c>
      <c r="Z25" t="e">
        <f>AND('Data Extract File Ty'!C384,"AAAAAFcfrRk=")</f>
        <v>#VALUE!</v>
      </c>
      <c r="AA25" t="e">
        <f>AND('Data Extract File Ty'!D384,"AAAAAFcfrRo=")</f>
        <v>#VALUE!</v>
      </c>
      <c r="AB25">
        <f>IF('Data Extract File Ty'!385:385,"AAAAAFcfrRs=",0)</f>
        <v>0</v>
      </c>
      <c r="AC25" t="e">
        <f>AND('Data Extract File Ty'!A385,"AAAAAFcfrRw=")</f>
        <v>#VALUE!</v>
      </c>
      <c r="AD25" t="e">
        <f>AND('Data Extract File Ty'!B385,"AAAAAFcfrR0=")</f>
        <v>#VALUE!</v>
      </c>
      <c r="AE25" t="e">
        <f>AND('Data Extract File Ty'!C385,"AAAAAFcfrR4=")</f>
        <v>#VALUE!</v>
      </c>
      <c r="AF25" t="e">
        <f>AND('Data Extract File Ty'!D385,"AAAAAFcfrR8=")</f>
        <v>#VALUE!</v>
      </c>
      <c r="AG25">
        <f>IF('Data Extract File Ty'!386:386,"AAAAAFcfrSA=",0)</f>
        <v>0</v>
      </c>
      <c r="AH25" t="e">
        <f>AND('Data Extract File Ty'!A386,"AAAAAFcfrSE=")</f>
        <v>#VALUE!</v>
      </c>
      <c r="AI25" t="e">
        <f>AND('Data Extract File Ty'!B386,"AAAAAFcfrSI=")</f>
        <v>#VALUE!</v>
      </c>
      <c r="AJ25" t="e">
        <f>AND('Data Extract File Ty'!C386,"AAAAAFcfrSM=")</f>
        <v>#VALUE!</v>
      </c>
      <c r="AK25" t="e">
        <f>AND('Data Extract File Ty'!D386,"AAAAAFcfrSQ=")</f>
        <v>#VALUE!</v>
      </c>
      <c r="AL25">
        <f>IF('Data Extract File Ty'!387:387,"AAAAAFcfrSU=",0)</f>
        <v>0</v>
      </c>
      <c r="AM25" t="e">
        <f>AND('Data Extract File Ty'!A387,"AAAAAFcfrSY=")</f>
        <v>#VALUE!</v>
      </c>
      <c r="AN25" t="e">
        <f>AND('Data Extract File Ty'!B387,"AAAAAFcfrSc=")</f>
        <v>#VALUE!</v>
      </c>
      <c r="AO25" t="e">
        <f>AND('Data Extract File Ty'!C387,"AAAAAFcfrSg=")</f>
        <v>#VALUE!</v>
      </c>
      <c r="AP25" t="e">
        <f>AND('Data Extract File Ty'!D387,"AAAAAFcfrSk=")</f>
        <v>#VALUE!</v>
      </c>
      <c r="AQ25">
        <f>IF('Data Extract File Ty'!388:388,"AAAAAFcfrSo=",0)</f>
        <v>0</v>
      </c>
      <c r="AR25" t="e">
        <f>AND('Data Extract File Ty'!A388,"AAAAAFcfrSs=")</f>
        <v>#VALUE!</v>
      </c>
      <c r="AS25" t="e">
        <f>AND('Data Extract File Ty'!B388,"AAAAAFcfrSw=")</f>
        <v>#VALUE!</v>
      </c>
      <c r="AT25" t="e">
        <f>AND('Data Extract File Ty'!C388,"AAAAAFcfrS0=")</f>
        <v>#VALUE!</v>
      </c>
      <c r="AU25" t="e">
        <f>AND('Data Extract File Ty'!D388,"AAAAAFcfrS4=")</f>
        <v>#VALUE!</v>
      </c>
      <c r="AV25">
        <f>IF('Data Extract File Ty'!389:389,"AAAAAFcfrS8=",0)</f>
        <v>0</v>
      </c>
      <c r="AW25" t="e">
        <f>AND('Data Extract File Ty'!A389,"AAAAAFcfrTA=")</f>
        <v>#VALUE!</v>
      </c>
      <c r="AX25" t="e">
        <f>AND('Data Extract File Ty'!B389,"AAAAAFcfrTE=")</f>
        <v>#VALUE!</v>
      </c>
      <c r="AY25" t="e">
        <f>AND('Data Extract File Ty'!C389,"AAAAAFcfrTI=")</f>
        <v>#VALUE!</v>
      </c>
      <c r="AZ25" t="e">
        <f>AND('Data Extract File Ty'!D389,"AAAAAFcfrTM=")</f>
        <v>#VALUE!</v>
      </c>
      <c r="BA25">
        <f>IF('Data Extract File Ty'!390:390,"AAAAAFcfrTQ=",0)</f>
        <v>0</v>
      </c>
      <c r="BB25" t="e">
        <f>AND('Data Extract File Ty'!A390,"AAAAAFcfrTU=")</f>
        <v>#VALUE!</v>
      </c>
      <c r="BC25" t="e">
        <f>AND('Data Extract File Ty'!B390,"AAAAAFcfrTY=")</f>
        <v>#VALUE!</v>
      </c>
      <c r="BD25" t="e">
        <f>AND('Data Extract File Ty'!C390,"AAAAAFcfrTc=")</f>
        <v>#VALUE!</v>
      </c>
      <c r="BE25" t="e">
        <f>AND('Data Extract File Ty'!D390,"AAAAAFcfrTg=")</f>
        <v>#VALUE!</v>
      </c>
      <c r="BF25">
        <f>IF('Data Extract File Ty'!391:391,"AAAAAFcfrTk=",0)</f>
        <v>0</v>
      </c>
      <c r="BG25" t="e">
        <f>AND('Data Extract File Ty'!A391,"AAAAAFcfrTo=")</f>
        <v>#VALUE!</v>
      </c>
      <c r="BH25" t="e">
        <f>AND('Data Extract File Ty'!B391,"AAAAAFcfrTs=")</f>
        <v>#VALUE!</v>
      </c>
      <c r="BI25" t="e">
        <f>AND('Data Extract File Ty'!C391,"AAAAAFcfrTw=")</f>
        <v>#VALUE!</v>
      </c>
      <c r="BJ25" t="e">
        <f>AND('Data Extract File Ty'!D391,"AAAAAFcfrT0=")</f>
        <v>#VALUE!</v>
      </c>
      <c r="BK25">
        <f>IF('Data Extract File Ty'!392:392,"AAAAAFcfrT4=",0)</f>
        <v>0</v>
      </c>
      <c r="BL25" t="e">
        <f>AND('Data Extract File Ty'!A392,"AAAAAFcfrT8=")</f>
        <v>#VALUE!</v>
      </c>
      <c r="BM25" t="e">
        <f>AND('Data Extract File Ty'!B392,"AAAAAFcfrUA=")</f>
        <v>#VALUE!</v>
      </c>
      <c r="BN25" t="e">
        <f>AND('Data Extract File Ty'!C392,"AAAAAFcfrUE=")</f>
        <v>#VALUE!</v>
      </c>
      <c r="BO25" t="e">
        <f>AND('Data Extract File Ty'!D392,"AAAAAFcfrUI=")</f>
        <v>#VALUE!</v>
      </c>
      <c r="BP25">
        <f>IF('Data Extract File Ty'!393:393,"AAAAAFcfrUM=",0)</f>
        <v>0</v>
      </c>
      <c r="BQ25" t="e">
        <f>AND('Data Extract File Ty'!A393,"AAAAAFcfrUQ=")</f>
        <v>#VALUE!</v>
      </c>
      <c r="BR25" t="e">
        <f>AND('Data Extract File Ty'!B393,"AAAAAFcfrUU=")</f>
        <v>#VALUE!</v>
      </c>
      <c r="BS25" t="e">
        <f>AND('Data Extract File Ty'!C393,"AAAAAFcfrUY=")</f>
        <v>#VALUE!</v>
      </c>
      <c r="BT25" t="e">
        <f>AND('Data Extract File Ty'!D393,"AAAAAFcfrUc=")</f>
        <v>#VALUE!</v>
      </c>
      <c r="BU25">
        <f>IF('Data Extract File Ty'!394:394,"AAAAAFcfrUg=",0)</f>
        <v>0</v>
      </c>
      <c r="BV25" t="e">
        <f>AND('Data Extract File Ty'!A394,"AAAAAFcfrUk=")</f>
        <v>#VALUE!</v>
      </c>
      <c r="BW25" t="e">
        <f>AND('Data Extract File Ty'!B394,"AAAAAFcfrUo=")</f>
        <v>#VALUE!</v>
      </c>
      <c r="BX25" t="e">
        <f>AND('Data Extract File Ty'!C394,"AAAAAFcfrUs=")</f>
        <v>#VALUE!</v>
      </c>
      <c r="BY25" t="e">
        <f>AND('Data Extract File Ty'!D394,"AAAAAFcfrUw=")</f>
        <v>#VALUE!</v>
      </c>
      <c r="BZ25">
        <f>IF('Data Extract File Ty'!395:395,"AAAAAFcfrU0=",0)</f>
        <v>0</v>
      </c>
      <c r="CA25" t="e">
        <f>AND('Data Extract File Ty'!A395,"AAAAAFcfrU4=")</f>
        <v>#VALUE!</v>
      </c>
      <c r="CB25" t="e">
        <f>AND('Data Extract File Ty'!B395,"AAAAAFcfrU8=")</f>
        <v>#VALUE!</v>
      </c>
      <c r="CC25" t="e">
        <f>AND('Data Extract File Ty'!C395,"AAAAAFcfrVA=")</f>
        <v>#VALUE!</v>
      </c>
      <c r="CD25" t="e">
        <f>AND('Data Extract File Ty'!D395,"AAAAAFcfrVE=")</f>
        <v>#VALUE!</v>
      </c>
      <c r="CE25">
        <f>IF('Data Extract File Ty'!396:396,"AAAAAFcfrVI=",0)</f>
        <v>0</v>
      </c>
      <c r="CF25" t="e">
        <f>AND('Data Extract File Ty'!A396,"AAAAAFcfrVM=")</f>
        <v>#VALUE!</v>
      </c>
      <c r="CG25" t="e">
        <f>AND('Data Extract File Ty'!B396,"AAAAAFcfrVQ=")</f>
        <v>#VALUE!</v>
      </c>
      <c r="CH25" t="e">
        <f>AND('Data Extract File Ty'!C396,"AAAAAFcfrVU=")</f>
        <v>#VALUE!</v>
      </c>
      <c r="CI25" t="e">
        <f>AND('Data Extract File Ty'!D396,"AAAAAFcfrVY=")</f>
        <v>#VALUE!</v>
      </c>
      <c r="CJ25">
        <f>IF('Data Extract File Ty'!397:397,"AAAAAFcfrVc=",0)</f>
        <v>0</v>
      </c>
      <c r="CK25" t="e">
        <f>AND('Data Extract File Ty'!A397,"AAAAAFcfrVg=")</f>
        <v>#VALUE!</v>
      </c>
      <c r="CL25" t="e">
        <f>AND('Data Extract File Ty'!B397,"AAAAAFcfrVk=")</f>
        <v>#VALUE!</v>
      </c>
      <c r="CM25" t="e">
        <f>AND('Data Extract File Ty'!C397,"AAAAAFcfrVo=")</f>
        <v>#VALUE!</v>
      </c>
      <c r="CN25" t="e">
        <f>AND('Data Extract File Ty'!D397,"AAAAAFcfrVs=")</f>
        <v>#VALUE!</v>
      </c>
      <c r="CO25">
        <f>IF('Data Extract File Ty'!398:398,"AAAAAFcfrVw=",0)</f>
        <v>0</v>
      </c>
      <c r="CP25" t="e">
        <f>AND('Data Extract File Ty'!A398,"AAAAAFcfrV0=")</f>
        <v>#VALUE!</v>
      </c>
      <c r="CQ25" t="e">
        <f>AND('Data Extract File Ty'!B398,"AAAAAFcfrV4=")</f>
        <v>#VALUE!</v>
      </c>
      <c r="CR25" t="e">
        <f>AND('Data Extract File Ty'!C398,"AAAAAFcfrV8=")</f>
        <v>#VALUE!</v>
      </c>
      <c r="CS25" t="e">
        <f>AND('Data Extract File Ty'!D398,"AAAAAFcfrWA=")</f>
        <v>#VALUE!</v>
      </c>
      <c r="CT25">
        <f>IF('Data Extract File Ty'!399:399,"AAAAAFcfrWE=",0)</f>
        <v>0</v>
      </c>
      <c r="CU25" t="e">
        <f>AND('Data Extract File Ty'!A399,"AAAAAFcfrWI=")</f>
        <v>#VALUE!</v>
      </c>
      <c r="CV25" t="e">
        <f>AND('Data Extract File Ty'!B399,"AAAAAFcfrWM=")</f>
        <v>#VALUE!</v>
      </c>
      <c r="CW25" t="e">
        <f>AND('Data Extract File Ty'!C399,"AAAAAFcfrWQ=")</f>
        <v>#VALUE!</v>
      </c>
      <c r="CX25" t="e">
        <f>AND('Data Extract File Ty'!D399,"AAAAAFcfrWU=")</f>
        <v>#VALUE!</v>
      </c>
      <c r="CY25">
        <f>IF('Data Extract File Ty'!400:400,"AAAAAFcfrWY=",0)</f>
        <v>0</v>
      </c>
      <c r="CZ25" t="e">
        <f>AND('Data Extract File Ty'!A400,"AAAAAFcfrWc=")</f>
        <v>#VALUE!</v>
      </c>
      <c r="DA25" t="e">
        <f>AND('Data Extract File Ty'!B400,"AAAAAFcfrWg=")</f>
        <v>#VALUE!</v>
      </c>
      <c r="DB25" t="e">
        <f>AND('Data Extract File Ty'!C400,"AAAAAFcfrWk=")</f>
        <v>#VALUE!</v>
      </c>
      <c r="DC25" t="e">
        <f>AND('Data Extract File Ty'!D400,"AAAAAFcfrWo=")</f>
        <v>#VALUE!</v>
      </c>
      <c r="DD25">
        <f>IF('Data Extract File Ty'!401:401,"AAAAAFcfrWs=",0)</f>
        <v>0</v>
      </c>
      <c r="DE25" t="e">
        <f>AND('Data Extract File Ty'!A401,"AAAAAFcfrWw=")</f>
        <v>#VALUE!</v>
      </c>
      <c r="DF25" t="e">
        <f>AND('Data Extract File Ty'!B401,"AAAAAFcfrW0=")</f>
        <v>#VALUE!</v>
      </c>
      <c r="DG25" t="e">
        <f>AND('Data Extract File Ty'!C401,"AAAAAFcfrW4=")</f>
        <v>#VALUE!</v>
      </c>
      <c r="DH25" t="e">
        <f>AND('Data Extract File Ty'!D401,"AAAAAFcfrW8=")</f>
        <v>#VALUE!</v>
      </c>
      <c r="DI25">
        <f>IF('Data Extract File Ty'!402:402,"AAAAAFcfrXA=",0)</f>
        <v>0</v>
      </c>
      <c r="DJ25" t="e">
        <f>AND('Data Extract File Ty'!A402,"AAAAAFcfrXE=")</f>
        <v>#VALUE!</v>
      </c>
      <c r="DK25" t="e">
        <f>AND('Data Extract File Ty'!B402,"AAAAAFcfrXI=")</f>
        <v>#VALUE!</v>
      </c>
      <c r="DL25" t="e">
        <f>AND('Data Extract File Ty'!C402,"AAAAAFcfrXM=")</f>
        <v>#VALUE!</v>
      </c>
      <c r="DM25" t="e">
        <f>AND('Data Extract File Ty'!D402,"AAAAAFcfrXQ=")</f>
        <v>#VALUE!</v>
      </c>
      <c r="DN25">
        <f>IF('Data Extract File Ty'!403:403,"AAAAAFcfrXU=",0)</f>
        <v>0</v>
      </c>
      <c r="DO25" t="e">
        <f>AND('Data Extract File Ty'!A403,"AAAAAFcfrXY=")</f>
        <v>#VALUE!</v>
      </c>
      <c r="DP25" t="e">
        <f>AND('Data Extract File Ty'!B403,"AAAAAFcfrXc=")</f>
        <v>#VALUE!</v>
      </c>
      <c r="DQ25" t="e">
        <f>AND('Data Extract File Ty'!C403,"AAAAAFcfrXg=")</f>
        <v>#VALUE!</v>
      </c>
      <c r="DR25" t="e">
        <f>AND('Data Extract File Ty'!D403,"AAAAAFcfrXk=")</f>
        <v>#VALUE!</v>
      </c>
      <c r="DS25">
        <f>IF('Data Extract File Ty'!404:404,"AAAAAFcfrXo=",0)</f>
        <v>0</v>
      </c>
      <c r="DT25" t="e">
        <f>AND('Data Extract File Ty'!A404,"AAAAAFcfrXs=")</f>
        <v>#VALUE!</v>
      </c>
      <c r="DU25" t="e">
        <f>AND('Data Extract File Ty'!B404,"AAAAAFcfrXw=")</f>
        <v>#VALUE!</v>
      </c>
      <c r="DV25" t="e">
        <f>AND('Data Extract File Ty'!C404,"AAAAAFcfrX0=")</f>
        <v>#VALUE!</v>
      </c>
      <c r="DW25" t="e">
        <f>AND('Data Extract File Ty'!D404,"AAAAAFcfrX4=")</f>
        <v>#VALUE!</v>
      </c>
      <c r="DX25">
        <f>IF('Data Extract File Ty'!405:405,"AAAAAFcfrX8=",0)</f>
        <v>0</v>
      </c>
      <c r="DY25" t="e">
        <f>AND('Data Extract File Ty'!A405,"AAAAAFcfrYA=")</f>
        <v>#VALUE!</v>
      </c>
      <c r="DZ25" t="e">
        <f>AND('Data Extract File Ty'!B405,"AAAAAFcfrYE=")</f>
        <v>#VALUE!</v>
      </c>
      <c r="EA25" t="e">
        <f>AND('Data Extract File Ty'!C405,"AAAAAFcfrYI=")</f>
        <v>#VALUE!</v>
      </c>
      <c r="EB25" t="e">
        <f>AND('Data Extract File Ty'!D405,"AAAAAFcfrYM=")</f>
        <v>#VALUE!</v>
      </c>
      <c r="EC25">
        <f>IF('Data Extract File Ty'!406:406,"AAAAAFcfrYQ=",0)</f>
        <v>0</v>
      </c>
      <c r="ED25" t="e">
        <f>AND('Data Extract File Ty'!A406,"AAAAAFcfrYU=")</f>
        <v>#VALUE!</v>
      </c>
      <c r="EE25" t="e">
        <f>AND('Data Extract File Ty'!B406,"AAAAAFcfrYY=")</f>
        <v>#VALUE!</v>
      </c>
      <c r="EF25" t="e">
        <f>AND('Data Extract File Ty'!C406,"AAAAAFcfrYc=")</f>
        <v>#VALUE!</v>
      </c>
      <c r="EG25" t="e">
        <f>AND('Data Extract File Ty'!D406,"AAAAAFcfrYg=")</f>
        <v>#VALUE!</v>
      </c>
      <c r="EH25">
        <f>IF('Data Extract File Ty'!407:407,"AAAAAFcfrYk=",0)</f>
        <v>0</v>
      </c>
      <c r="EI25" t="e">
        <f>AND('Data Extract File Ty'!A407,"AAAAAFcfrYo=")</f>
        <v>#VALUE!</v>
      </c>
      <c r="EJ25" t="e">
        <f>AND('Data Extract File Ty'!B407,"AAAAAFcfrYs=")</f>
        <v>#VALUE!</v>
      </c>
      <c r="EK25" t="e">
        <f>AND('Data Extract File Ty'!C407,"AAAAAFcfrYw=")</f>
        <v>#VALUE!</v>
      </c>
      <c r="EL25" t="e">
        <f>AND('Data Extract File Ty'!D407,"AAAAAFcfrY0=")</f>
        <v>#VALUE!</v>
      </c>
      <c r="EM25">
        <f>IF('Data Extract File Ty'!408:408,"AAAAAFcfrY4=",0)</f>
        <v>0</v>
      </c>
      <c r="EN25" t="e">
        <f>AND('Data Extract File Ty'!A408,"AAAAAFcfrY8=")</f>
        <v>#VALUE!</v>
      </c>
      <c r="EO25" t="e">
        <f>AND('Data Extract File Ty'!B408,"AAAAAFcfrZA=")</f>
        <v>#VALUE!</v>
      </c>
      <c r="EP25" t="e">
        <f>AND('Data Extract File Ty'!C408,"AAAAAFcfrZE=")</f>
        <v>#VALUE!</v>
      </c>
      <c r="EQ25" t="e">
        <f>AND('Data Extract File Ty'!D408,"AAAAAFcfrZI=")</f>
        <v>#VALUE!</v>
      </c>
      <c r="ER25">
        <f>IF('Data Extract File Ty'!409:409,"AAAAAFcfrZM=",0)</f>
        <v>0</v>
      </c>
      <c r="ES25" t="e">
        <f>AND('Data Extract File Ty'!A409,"AAAAAFcfrZQ=")</f>
        <v>#VALUE!</v>
      </c>
      <c r="ET25" t="e">
        <f>AND('Data Extract File Ty'!B409,"AAAAAFcfrZU=")</f>
        <v>#VALUE!</v>
      </c>
      <c r="EU25" t="e">
        <f>AND('Data Extract File Ty'!C409,"AAAAAFcfrZY=")</f>
        <v>#VALUE!</v>
      </c>
      <c r="EV25" t="e">
        <f>AND('Data Extract File Ty'!D409,"AAAAAFcfrZc=")</f>
        <v>#VALUE!</v>
      </c>
      <c r="EW25">
        <f>IF('Data Extract File Ty'!410:410,"AAAAAFcfrZg=",0)</f>
        <v>0</v>
      </c>
      <c r="EX25" t="e">
        <f>AND('Data Extract File Ty'!A410,"AAAAAFcfrZk=")</f>
        <v>#VALUE!</v>
      </c>
      <c r="EY25" t="e">
        <f>AND('Data Extract File Ty'!B410,"AAAAAFcfrZo=")</f>
        <v>#VALUE!</v>
      </c>
      <c r="EZ25" t="e">
        <f>AND('Data Extract File Ty'!C410,"AAAAAFcfrZs=")</f>
        <v>#VALUE!</v>
      </c>
      <c r="FA25" t="e">
        <f>AND('Data Extract File Ty'!D410,"AAAAAFcfrZw=")</f>
        <v>#VALUE!</v>
      </c>
      <c r="FB25">
        <f>IF('Data Extract File Ty'!411:411,"AAAAAFcfrZ0=",0)</f>
        <v>0</v>
      </c>
      <c r="FC25" t="e">
        <f>AND('Data Extract File Ty'!A411,"AAAAAFcfrZ4=")</f>
        <v>#VALUE!</v>
      </c>
      <c r="FD25" t="e">
        <f>AND('Data Extract File Ty'!B411,"AAAAAFcfrZ8=")</f>
        <v>#VALUE!</v>
      </c>
      <c r="FE25" t="e">
        <f>AND('Data Extract File Ty'!C411,"AAAAAFcfraA=")</f>
        <v>#VALUE!</v>
      </c>
      <c r="FF25" t="e">
        <f>AND('Data Extract File Ty'!D411,"AAAAAFcfraE=")</f>
        <v>#VALUE!</v>
      </c>
      <c r="FG25">
        <f>IF('Data Extract File Ty'!412:412,"AAAAAFcfraI=",0)</f>
        <v>0</v>
      </c>
      <c r="FH25" t="e">
        <f>AND('Data Extract File Ty'!A412,"AAAAAFcfraM=")</f>
        <v>#VALUE!</v>
      </c>
      <c r="FI25" t="e">
        <f>AND('Data Extract File Ty'!B412,"AAAAAFcfraQ=")</f>
        <v>#VALUE!</v>
      </c>
      <c r="FJ25" t="e">
        <f>AND('Data Extract File Ty'!C412,"AAAAAFcfraU=")</f>
        <v>#VALUE!</v>
      </c>
      <c r="FK25" t="e">
        <f>AND('Data Extract File Ty'!D412,"AAAAAFcfraY=")</f>
        <v>#VALUE!</v>
      </c>
      <c r="FL25">
        <f>IF('Data Extract File Ty'!413:413,"AAAAAFcfrac=",0)</f>
        <v>0</v>
      </c>
      <c r="FM25" t="e">
        <f>AND('Data Extract File Ty'!A413,"AAAAAFcfrag=")</f>
        <v>#VALUE!</v>
      </c>
      <c r="FN25" t="e">
        <f>AND('Data Extract File Ty'!B413,"AAAAAFcfrak=")</f>
        <v>#VALUE!</v>
      </c>
      <c r="FO25" t="e">
        <f>AND('Data Extract File Ty'!C413,"AAAAAFcfrao=")</f>
        <v>#VALUE!</v>
      </c>
      <c r="FP25" t="e">
        <f>AND('Data Extract File Ty'!D413,"AAAAAFcfras=")</f>
        <v>#VALUE!</v>
      </c>
      <c r="FQ25">
        <f>IF('Data Extract File Ty'!414:414,"AAAAAFcfraw=",0)</f>
        <v>0</v>
      </c>
      <c r="FR25" t="e">
        <f>AND('Data Extract File Ty'!A414,"AAAAAFcfra0=")</f>
        <v>#VALUE!</v>
      </c>
      <c r="FS25" t="e">
        <f>AND('Data Extract File Ty'!B414,"AAAAAFcfra4=")</f>
        <v>#VALUE!</v>
      </c>
      <c r="FT25" t="e">
        <f>AND('Data Extract File Ty'!C414,"AAAAAFcfra8=")</f>
        <v>#VALUE!</v>
      </c>
      <c r="FU25" t="e">
        <f>AND('Data Extract File Ty'!D414,"AAAAAFcfrbA=")</f>
        <v>#VALUE!</v>
      </c>
      <c r="FV25">
        <f>IF('Data Extract File Ty'!415:415,"AAAAAFcfrbE=",0)</f>
        <v>0</v>
      </c>
      <c r="FW25" t="e">
        <f>AND('Data Extract File Ty'!A415,"AAAAAFcfrbI=")</f>
        <v>#VALUE!</v>
      </c>
      <c r="FX25" t="e">
        <f>AND('Data Extract File Ty'!B415,"AAAAAFcfrbM=")</f>
        <v>#VALUE!</v>
      </c>
      <c r="FY25" t="e">
        <f>AND('Data Extract File Ty'!C415,"AAAAAFcfrbQ=")</f>
        <v>#VALUE!</v>
      </c>
      <c r="FZ25" t="e">
        <f>AND('Data Extract File Ty'!D415,"AAAAAFcfrbU=")</f>
        <v>#VALUE!</v>
      </c>
      <c r="GA25">
        <f>IF('Data Extract File Ty'!416:416,"AAAAAFcfrbY=",0)</f>
        <v>0</v>
      </c>
      <c r="GB25" t="e">
        <f>AND('Data Extract File Ty'!A416,"AAAAAFcfrbc=")</f>
        <v>#VALUE!</v>
      </c>
      <c r="GC25" t="e">
        <f>AND('Data Extract File Ty'!B416,"AAAAAFcfrbg=")</f>
        <v>#VALUE!</v>
      </c>
      <c r="GD25" t="e">
        <f>AND('Data Extract File Ty'!C416,"AAAAAFcfrbk=")</f>
        <v>#VALUE!</v>
      </c>
      <c r="GE25" t="e">
        <f>AND('Data Extract File Ty'!D416,"AAAAAFcfrbo=")</f>
        <v>#VALUE!</v>
      </c>
      <c r="GF25">
        <f>IF('Data Extract File Ty'!417:417,"AAAAAFcfrbs=",0)</f>
        <v>0</v>
      </c>
      <c r="GG25" t="e">
        <f>AND('Data Extract File Ty'!A417,"AAAAAFcfrbw=")</f>
        <v>#VALUE!</v>
      </c>
      <c r="GH25" t="e">
        <f>AND('Data Extract File Ty'!B417,"AAAAAFcfrb0=")</f>
        <v>#VALUE!</v>
      </c>
      <c r="GI25" t="e">
        <f>AND('Data Extract File Ty'!C417,"AAAAAFcfrb4=")</f>
        <v>#VALUE!</v>
      </c>
      <c r="GJ25" t="e">
        <f>AND('Data Extract File Ty'!D417,"AAAAAFcfrb8=")</f>
        <v>#VALUE!</v>
      </c>
      <c r="GK25">
        <f>IF('Data Extract File Ty'!418:418,"AAAAAFcfrcA=",0)</f>
        <v>0</v>
      </c>
      <c r="GL25" t="e">
        <f>AND('Data Extract File Ty'!A418,"AAAAAFcfrcE=")</f>
        <v>#VALUE!</v>
      </c>
      <c r="GM25" t="e">
        <f>AND('Data Extract File Ty'!B418,"AAAAAFcfrcI=")</f>
        <v>#VALUE!</v>
      </c>
      <c r="GN25" t="e">
        <f>AND('Data Extract File Ty'!C418,"AAAAAFcfrcM=")</f>
        <v>#VALUE!</v>
      </c>
      <c r="GO25" t="e">
        <f>AND('Data Extract File Ty'!D418,"AAAAAFcfrcQ=")</f>
        <v>#VALUE!</v>
      </c>
      <c r="GP25">
        <f>IF('Data Extract File Ty'!419:419,"AAAAAFcfrcU=",0)</f>
        <v>0</v>
      </c>
      <c r="GQ25" t="e">
        <f>AND('Data Extract File Ty'!A419,"AAAAAFcfrcY=")</f>
        <v>#VALUE!</v>
      </c>
      <c r="GR25" t="e">
        <f>AND('Data Extract File Ty'!B419,"AAAAAFcfrcc=")</f>
        <v>#VALUE!</v>
      </c>
      <c r="GS25" t="e">
        <f>AND('Data Extract File Ty'!C419,"AAAAAFcfrcg=")</f>
        <v>#VALUE!</v>
      </c>
      <c r="GT25" t="e">
        <f>AND('Data Extract File Ty'!D419,"AAAAAFcfrck=")</f>
        <v>#VALUE!</v>
      </c>
      <c r="GU25">
        <f>IF('Data Extract File Ty'!420:420,"AAAAAFcfrco=",0)</f>
        <v>0</v>
      </c>
      <c r="GV25" t="e">
        <f>AND('Data Extract File Ty'!A420,"AAAAAFcfrcs=")</f>
        <v>#VALUE!</v>
      </c>
      <c r="GW25" t="e">
        <f>AND('Data Extract File Ty'!B420,"AAAAAFcfrcw=")</f>
        <v>#VALUE!</v>
      </c>
      <c r="GX25" t="e">
        <f>AND('Data Extract File Ty'!C420,"AAAAAFcfrc0=")</f>
        <v>#VALUE!</v>
      </c>
      <c r="GY25" t="e">
        <f>AND('Data Extract File Ty'!D420,"AAAAAFcfrc4=")</f>
        <v>#VALUE!</v>
      </c>
      <c r="GZ25">
        <f>IF('Data Extract File Ty'!421:421,"AAAAAFcfrc8=",0)</f>
        <v>0</v>
      </c>
      <c r="HA25" t="e">
        <f>AND('Data Extract File Ty'!A421,"AAAAAFcfrdA=")</f>
        <v>#VALUE!</v>
      </c>
      <c r="HB25" t="e">
        <f>AND('Data Extract File Ty'!B421,"AAAAAFcfrdE=")</f>
        <v>#VALUE!</v>
      </c>
      <c r="HC25" t="e">
        <f>AND('Data Extract File Ty'!C421,"AAAAAFcfrdI=")</f>
        <v>#VALUE!</v>
      </c>
      <c r="HD25" t="e">
        <f>AND('Data Extract File Ty'!D421,"AAAAAFcfrdM=")</f>
        <v>#VALUE!</v>
      </c>
      <c r="HE25">
        <f>IF('Data Extract File Ty'!422:422,"AAAAAFcfrdQ=",0)</f>
        <v>0</v>
      </c>
      <c r="HF25" t="e">
        <f>AND('Data Extract File Ty'!A422,"AAAAAFcfrdU=")</f>
        <v>#VALUE!</v>
      </c>
      <c r="HG25" t="e">
        <f>AND('Data Extract File Ty'!B422,"AAAAAFcfrdY=")</f>
        <v>#VALUE!</v>
      </c>
      <c r="HH25" t="e">
        <f>AND('Data Extract File Ty'!C422,"AAAAAFcfrdc=")</f>
        <v>#VALUE!</v>
      </c>
      <c r="HI25" t="e">
        <f>AND('Data Extract File Ty'!D422,"AAAAAFcfrdg=")</f>
        <v>#VALUE!</v>
      </c>
      <c r="HJ25">
        <f>IF('Data Extract File Ty'!423:423,"AAAAAFcfrdk=",0)</f>
        <v>0</v>
      </c>
      <c r="HK25" t="e">
        <f>AND('Data Extract File Ty'!A423,"AAAAAFcfrdo=")</f>
        <v>#VALUE!</v>
      </c>
      <c r="HL25" t="e">
        <f>AND('Data Extract File Ty'!B423,"AAAAAFcfrds=")</f>
        <v>#VALUE!</v>
      </c>
      <c r="HM25" t="e">
        <f>AND('Data Extract File Ty'!C423,"AAAAAFcfrdw=")</f>
        <v>#VALUE!</v>
      </c>
      <c r="HN25" t="e">
        <f>AND('Data Extract File Ty'!D423,"AAAAAFcfrd0=")</f>
        <v>#VALUE!</v>
      </c>
      <c r="HO25">
        <f>IF('Data Extract File Ty'!424:424,"AAAAAFcfrd4=",0)</f>
        <v>0</v>
      </c>
      <c r="HP25" t="e">
        <f>AND('Data Extract File Ty'!A424,"AAAAAFcfrd8=")</f>
        <v>#VALUE!</v>
      </c>
      <c r="HQ25" t="e">
        <f>AND('Data Extract File Ty'!B424,"AAAAAFcfreA=")</f>
        <v>#VALUE!</v>
      </c>
      <c r="HR25" t="e">
        <f>AND('Data Extract File Ty'!C424,"AAAAAFcfreE=")</f>
        <v>#VALUE!</v>
      </c>
      <c r="HS25" t="e">
        <f>AND('Data Extract File Ty'!D424,"AAAAAFcfreI=")</f>
        <v>#VALUE!</v>
      </c>
      <c r="HT25">
        <f>IF('Data Extract File Ty'!425:425,"AAAAAFcfreM=",0)</f>
        <v>0</v>
      </c>
      <c r="HU25" t="e">
        <f>AND('Data Extract File Ty'!A425,"AAAAAFcfreQ=")</f>
        <v>#VALUE!</v>
      </c>
      <c r="HV25" t="e">
        <f>AND('Data Extract File Ty'!B425,"AAAAAFcfreU=")</f>
        <v>#VALUE!</v>
      </c>
      <c r="HW25" t="e">
        <f>AND('Data Extract File Ty'!C425,"AAAAAFcfreY=")</f>
        <v>#VALUE!</v>
      </c>
      <c r="HX25" t="e">
        <f>AND('Data Extract File Ty'!D425,"AAAAAFcfrec=")</f>
        <v>#VALUE!</v>
      </c>
      <c r="HY25">
        <f>IF('Data Extract File Ty'!426:426,"AAAAAFcfreg=",0)</f>
        <v>0</v>
      </c>
      <c r="HZ25" t="e">
        <f>AND('Data Extract File Ty'!A426,"AAAAAFcfrek=")</f>
        <v>#VALUE!</v>
      </c>
      <c r="IA25" t="e">
        <f>AND('Data Extract File Ty'!B426,"AAAAAFcfreo=")</f>
        <v>#VALUE!</v>
      </c>
      <c r="IB25" t="e">
        <f>AND('Data Extract File Ty'!C426,"AAAAAFcfres=")</f>
        <v>#VALUE!</v>
      </c>
      <c r="IC25" t="e">
        <f>AND('Data Extract File Ty'!D426,"AAAAAFcfrew=")</f>
        <v>#VALUE!</v>
      </c>
      <c r="ID25">
        <f>IF('Data Extract File Ty'!427:427,"AAAAAFcfre0=",0)</f>
        <v>0</v>
      </c>
      <c r="IE25" t="e">
        <f>AND('Data Extract File Ty'!A427,"AAAAAFcfre4=")</f>
        <v>#VALUE!</v>
      </c>
      <c r="IF25" t="e">
        <f>AND('Data Extract File Ty'!B427,"AAAAAFcfre8=")</f>
        <v>#VALUE!</v>
      </c>
      <c r="IG25" t="e">
        <f>AND('Data Extract File Ty'!C427,"AAAAAFcfrfA=")</f>
        <v>#VALUE!</v>
      </c>
      <c r="IH25" t="e">
        <f>AND('Data Extract File Ty'!D427,"AAAAAFcfrfE=")</f>
        <v>#VALUE!</v>
      </c>
      <c r="II25">
        <f>IF('Data Extract File Ty'!428:428,"AAAAAFcfrfI=",0)</f>
        <v>0</v>
      </c>
      <c r="IJ25" t="e">
        <f>AND('Data Extract File Ty'!A428,"AAAAAFcfrfM=")</f>
        <v>#VALUE!</v>
      </c>
      <c r="IK25" t="e">
        <f>AND('Data Extract File Ty'!B428,"AAAAAFcfrfQ=")</f>
        <v>#VALUE!</v>
      </c>
      <c r="IL25" t="e">
        <f>AND('Data Extract File Ty'!C428,"AAAAAFcfrfU=")</f>
        <v>#VALUE!</v>
      </c>
      <c r="IM25" t="e">
        <f>AND('Data Extract File Ty'!D428,"AAAAAFcfrfY=")</f>
        <v>#VALUE!</v>
      </c>
      <c r="IN25">
        <f>IF('Data Extract File Ty'!429:429,"AAAAAFcfrfc=",0)</f>
        <v>0</v>
      </c>
      <c r="IO25" t="e">
        <f>AND('Data Extract File Ty'!A429,"AAAAAFcfrfg=")</f>
        <v>#VALUE!</v>
      </c>
      <c r="IP25" t="e">
        <f>AND('Data Extract File Ty'!B429,"AAAAAFcfrfk=")</f>
        <v>#VALUE!</v>
      </c>
      <c r="IQ25" t="e">
        <f>AND('Data Extract File Ty'!C429,"AAAAAFcfrfo=")</f>
        <v>#VALUE!</v>
      </c>
      <c r="IR25" t="e">
        <f>AND('Data Extract File Ty'!D429,"AAAAAFcfrfs=")</f>
        <v>#VALUE!</v>
      </c>
      <c r="IS25">
        <f>IF('Data Extract File Ty'!430:430,"AAAAAFcfrfw=",0)</f>
        <v>0</v>
      </c>
      <c r="IT25" t="e">
        <f>AND('Data Extract File Ty'!A430,"AAAAAFcfrf0=")</f>
        <v>#VALUE!</v>
      </c>
      <c r="IU25" t="e">
        <f>AND('Data Extract File Ty'!B430,"AAAAAFcfrf4=")</f>
        <v>#VALUE!</v>
      </c>
      <c r="IV25" t="e">
        <f>AND('Data Extract File Ty'!C430,"AAAAAFcfrf8=")</f>
        <v>#VALUE!</v>
      </c>
    </row>
    <row r="26" spans="1:256" x14ac:dyDescent="0.2">
      <c r="A26" t="e">
        <f>AND('Data Extract File Ty'!D430,"AAAAAH7m/QA=")</f>
        <v>#VALUE!</v>
      </c>
      <c r="B26" t="e">
        <f>IF('Data Extract File Ty'!431:431,"AAAAAH7m/QE=",0)</f>
        <v>#VALUE!</v>
      </c>
      <c r="C26" t="e">
        <f>AND('Data Extract File Ty'!A431,"AAAAAH7m/QI=")</f>
        <v>#VALUE!</v>
      </c>
      <c r="D26" t="e">
        <f>AND('Data Extract File Ty'!B431,"AAAAAH7m/QM=")</f>
        <v>#VALUE!</v>
      </c>
      <c r="E26" t="e">
        <f>AND('Data Extract File Ty'!C431,"AAAAAH7m/QQ=")</f>
        <v>#VALUE!</v>
      </c>
      <c r="F26" t="e">
        <f>AND('Data Extract File Ty'!D431,"AAAAAH7m/QU=")</f>
        <v>#VALUE!</v>
      </c>
      <c r="G26">
        <f>IF('Data Extract File Ty'!432:432,"AAAAAH7m/QY=",0)</f>
        <v>0</v>
      </c>
      <c r="H26" t="e">
        <f>AND('Data Extract File Ty'!A432,"AAAAAH7m/Qc=")</f>
        <v>#VALUE!</v>
      </c>
      <c r="I26" t="e">
        <f>AND('Data Extract File Ty'!B432,"AAAAAH7m/Qg=")</f>
        <v>#VALUE!</v>
      </c>
      <c r="J26" t="e">
        <f>AND('Data Extract File Ty'!C432,"AAAAAH7m/Qk=")</f>
        <v>#VALUE!</v>
      </c>
      <c r="K26" t="e">
        <f>AND('Data Extract File Ty'!D432,"AAAAAH7m/Qo=")</f>
        <v>#VALUE!</v>
      </c>
      <c r="L26">
        <f>IF('Data Extract File Ty'!433:433,"AAAAAH7m/Qs=",0)</f>
        <v>0</v>
      </c>
      <c r="M26" t="e">
        <f>AND('Data Extract File Ty'!A433,"AAAAAH7m/Qw=")</f>
        <v>#VALUE!</v>
      </c>
      <c r="N26" t="e">
        <f>AND('Data Extract File Ty'!B433,"AAAAAH7m/Q0=")</f>
        <v>#VALUE!</v>
      </c>
      <c r="O26" t="e">
        <f>AND('Data Extract File Ty'!C433,"AAAAAH7m/Q4=")</f>
        <v>#VALUE!</v>
      </c>
      <c r="P26" t="e">
        <f>AND('Data Extract File Ty'!D433,"AAAAAH7m/Q8=")</f>
        <v>#VALUE!</v>
      </c>
      <c r="Q26">
        <f>IF('Data Extract File Ty'!434:434,"AAAAAH7m/RA=",0)</f>
        <v>0</v>
      </c>
      <c r="R26" t="e">
        <f>AND('Data Extract File Ty'!A434,"AAAAAH7m/RE=")</f>
        <v>#VALUE!</v>
      </c>
      <c r="S26" t="e">
        <f>AND('Data Extract File Ty'!B434,"AAAAAH7m/RI=")</f>
        <v>#VALUE!</v>
      </c>
      <c r="T26" t="e">
        <f>AND('Data Extract File Ty'!C434,"AAAAAH7m/RM=")</f>
        <v>#VALUE!</v>
      </c>
      <c r="U26" t="e">
        <f>AND('Data Extract File Ty'!D434,"AAAAAH7m/RQ=")</f>
        <v>#VALUE!</v>
      </c>
      <c r="V26">
        <f>IF('Data Extract File Ty'!435:435,"AAAAAH7m/RU=",0)</f>
        <v>0</v>
      </c>
      <c r="W26" t="e">
        <f>AND('Data Extract File Ty'!A435,"AAAAAH7m/RY=")</f>
        <v>#VALUE!</v>
      </c>
      <c r="X26" t="e">
        <f>AND('Data Extract File Ty'!B435,"AAAAAH7m/Rc=")</f>
        <v>#VALUE!</v>
      </c>
      <c r="Y26" t="e">
        <f>AND('Data Extract File Ty'!C435,"AAAAAH7m/Rg=")</f>
        <v>#VALUE!</v>
      </c>
      <c r="Z26" t="e">
        <f>AND('Data Extract File Ty'!D435,"AAAAAH7m/Rk=")</f>
        <v>#VALUE!</v>
      </c>
      <c r="AA26">
        <f>IF('Data Extract File Ty'!436:436,"AAAAAH7m/Ro=",0)</f>
        <v>0</v>
      </c>
      <c r="AB26" t="e">
        <f>AND('Data Extract File Ty'!A436,"AAAAAH7m/Rs=")</f>
        <v>#VALUE!</v>
      </c>
      <c r="AC26" t="e">
        <f>AND('Data Extract File Ty'!B436,"AAAAAH7m/Rw=")</f>
        <v>#VALUE!</v>
      </c>
      <c r="AD26" t="e">
        <f>AND('Data Extract File Ty'!C436,"AAAAAH7m/R0=")</f>
        <v>#VALUE!</v>
      </c>
      <c r="AE26" t="e">
        <f>AND('Data Extract File Ty'!D436,"AAAAAH7m/R4=")</f>
        <v>#VALUE!</v>
      </c>
      <c r="AF26">
        <f>IF('Data Extract File Ty'!437:437,"AAAAAH7m/R8=",0)</f>
        <v>0</v>
      </c>
      <c r="AG26" t="e">
        <f>AND('Data Extract File Ty'!A437,"AAAAAH7m/SA=")</f>
        <v>#VALUE!</v>
      </c>
      <c r="AH26" t="e">
        <f>AND('Data Extract File Ty'!B437,"AAAAAH7m/SE=")</f>
        <v>#VALUE!</v>
      </c>
      <c r="AI26" t="e">
        <f>AND('Data Extract File Ty'!C437,"AAAAAH7m/SI=")</f>
        <v>#VALUE!</v>
      </c>
      <c r="AJ26" t="e">
        <f>AND('Data Extract File Ty'!D437,"AAAAAH7m/SM=")</f>
        <v>#VALUE!</v>
      </c>
      <c r="AK26">
        <f>IF('Data Extract File Ty'!438:438,"AAAAAH7m/SQ=",0)</f>
        <v>0</v>
      </c>
      <c r="AL26" t="e">
        <f>AND('Data Extract File Ty'!A438,"AAAAAH7m/SU=")</f>
        <v>#VALUE!</v>
      </c>
      <c r="AM26" t="e">
        <f>AND('Data Extract File Ty'!B438,"AAAAAH7m/SY=")</f>
        <v>#VALUE!</v>
      </c>
      <c r="AN26" t="e">
        <f>AND('Data Extract File Ty'!C438,"AAAAAH7m/Sc=")</f>
        <v>#VALUE!</v>
      </c>
      <c r="AO26" t="e">
        <f>AND('Data Extract File Ty'!D438,"AAAAAH7m/Sg=")</f>
        <v>#VALUE!</v>
      </c>
      <c r="AP26">
        <f>IF('Data Extract File Ty'!439:439,"AAAAAH7m/Sk=",0)</f>
        <v>0</v>
      </c>
      <c r="AQ26" t="e">
        <f>AND('Data Extract File Ty'!A439,"AAAAAH7m/So=")</f>
        <v>#VALUE!</v>
      </c>
      <c r="AR26" t="e">
        <f>AND('Data Extract File Ty'!B439,"AAAAAH7m/Ss=")</f>
        <v>#VALUE!</v>
      </c>
      <c r="AS26" t="e">
        <f>AND('Data Extract File Ty'!C439,"AAAAAH7m/Sw=")</f>
        <v>#VALUE!</v>
      </c>
      <c r="AT26" t="e">
        <f>AND('Data Extract File Ty'!D439,"AAAAAH7m/S0=")</f>
        <v>#VALUE!</v>
      </c>
      <c r="AU26">
        <f>IF('Data Extract File Ty'!440:440,"AAAAAH7m/S4=",0)</f>
        <v>0</v>
      </c>
      <c r="AV26" t="e">
        <f>AND('Data Extract File Ty'!A440,"AAAAAH7m/S8=")</f>
        <v>#VALUE!</v>
      </c>
      <c r="AW26" t="e">
        <f>AND('Data Extract File Ty'!B440,"AAAAAH7m/TA=")</f>
        <v>#VALUE!</v>
      </c>
      <c r="AX26" t="e">
        <f>AND('Data Extract File Ty'!C440,"AAAAAH7m/TE=")</f>
        <v>#VALUE!</v>
      </c>
      <c r="AY26" t="e">
        <f>AND('Data Extract File Ty'!D440,"AAAAAH7m/TI=")</f>
        <v>#VALUE!</v>
      </c>
      <c r="AZ26">
        <f>IF('Data Extract File Ty'!441:441,"AAAAAH7m/TM=",0)</f>
        <v>0</v>
      </c>
      <c r="BA26" t="e">
        <f>AND('Data Extract File Ty'!A441,"AAAAAH7m/TQ=")</f>
        <v>#VALUE!</v>
      </c>
      <c r="BB26" t="e">
        <f>AND('Data Extract File Ty'!B441,"AAAAAH7m/TU=")</f>
        <v>#VALUE!</v>
      </c>
      <c r="BC26" t="e">
        <f>AND('Data Extract File Ty'!C441,"AAAAAH7m/TY=")</f>
        <v>#VALUE!</v>
      </c>
      <c r="BD26" t="e">
        <f>AND('Data Extract File Ty'!D441,"AAAAAH7m/Tc=")</f>
        <v>#VALUE!</v>
      </c>
      <c r="BE26">
        <f>IF('Data Extract File Ty'!442:442,"AAAAAH7m/Tg=",0)</f>
        <v>0</v>
      </c>
      <c r="BF26" t="e">
        <f>AND('Data Extract File Ty'!A442,"AAAAAH7m/Tk=")</f>
        <v>#VALUE!</v>
      </c>
      <c r="BG26" t="e">
        <f>AND('Data Extract File Ty'!B442,"AAAAAH7m/To=")</f>
        <v>#VALUE!</v>
      </c>
      <c r="BH26" t="e">
        <f>AND('Data Extract File Ty'!C442,"AAAAAH7m/Ts=")</f>
        <v>#VALUE!</v>
      </c>
      <c r="BI26" t="e">
        <f>AND('Data Extract File Ty'!D442,"AAAAAH7m/Tw=")</f>
        <v>#VALUE!</v>
      </c>
      <c r="BJ26">
        <f>IF('Data Extract File Ty'!443:443,"AAAAAH7m/T0=",0)</f>
        <v>0</v>
      </c>
      <c r="BK26" t="e">
        <f>AND('Data Extract File Ty'!A443,"AAAAAH7m/T4=")</f>
        <v>#VALUE!</v>
      </c>
      <c r="BL26" t="e">
        <f>AND('Data Extract File Ty'!B443,"AAAAAH7m/T8=")</f>
        <v>#VALUE!</v>
      </c>
      <c r="BM26" t="e">
        <f>AND('Data Extract File Ty'!C443,"AAAAAH7m/UA=")</f>
        <v>#VALUE!</v>
      </c>
      <c r="BN26" t="e">
        <f>AND('Data Extract File Ty'!D443,"AAAAAH7m/UE=")</f>
        <v>#VALUE!</v>
      </c>
      <c r="BO26">
        <f>IF('Data Extract File Ty'!444:444,"AAAAAH7m/UI=",0)</f>
        <v>0</v>
      </c>
      <c r="BP26" t="e">
        <f>AND('Data Extract File Ty'!A444,"AAAAAH7m/UM=")</f>
        <v>#VALUE!</v>
      </c>
      <c r="BQ26" t="e">
        <f>AND('Data Extract File Ty'!B444,"AAAAAH7m/UQ=")</f>
        <v>#VALUE!</v>
      </c>
      <c r="BR26" t="e">
        <f>AND('Data Extract File Ty'!C444,"AAAAAH7m/UU=")</f>
        <v>#VALUE!</v>
      </c>
      <c r="BS26" t="e">
        <f>AND('Data Extract File Ty'!D444,"AAAAAH7m/UY=")</f>
        <v>#VALUE!</v>
      </c>
      <c r="BT26">
        <f>IF('Data Extract File Ty'!445:445,"AAAAAH7m/Uc=",0)</f>
        <v>0</v>
      </c>
      <c r="BU26" t="e">
        <f>AND('Data Extract File Ty'!A445,"AAAAAH7m/Ug=")</f>
        <v>#VALUE!</v>
      </c>
      <c r="BV26" t="e">
        <f>AND('Data Extract File Ty'!B445,"AAAAAH7m/Uk=")</f>
        <v>#VALUE!</v>
      </c>
      <c r="BW26" t="e">
        <f>AND('Data Extract File Ty'!C445,"AAAAAH7m/Uo=")</f>
        <v>#VALUE!</v>
      </c>
      <c r="BX26" t="e">
        <f>AND('Data Extract File Ty'!D445,"AAAAAH7m/Us=")</f>
        <v>#VALUE!</v>
      </c>
      <c r="BY26">
        <f>IF('Data Extract File Ty'!446:446,"AAAAAH7m/Uw=",0)</f>
        <v>0</v>
      </c>
      <c r="BZ26" t="e">
        <f>AND('Data Extract File Ty'!A446,"AAAAAH7m/U0=")</f>
        <v>#VALUE!</v>
      </c>
      <c r="CA26" t="e">
        <f>AND('Data Extract File Ty'!B446,"AAAAAH7m/U4=")</f>
        <v>#VALUE!</v>
      </c>
      <c r="CB26" t="e">
        <f>AND('Data Extract File Ty'!C446,"AAAAAH7m/U8=")</f>
        <v>#VALUE!</v>
      </c>
      <c r="CC26" t="e">
        <f>AND('Data Extract File Ty'!D446,"AAAAAH7m/VA=")</f>
        <v>#VALUE!</v>
      </c>
      <c r="CD26">
        <f>IF('Data Extract File Ty'!447:447,"AAAAAH7m/VE=",0)</f>
        <v>0</v>
      </c>
      <c r="CE26" t="e">
        <f>AND('Data Extract File Ty'!A447,"AAAAAH7m/VI=")</f>
        <v>#VALUE!</v>
      </c>
      <c r="CF26" t="e">
        <f>AND('Data Extract File Ty'!B447,"AAAAAH7m/VM=")</f>
        <v>#VALUE!</v>
      </c>
      <c r="CG26" t="e">
        <f>AND('Data Extract File Ty'!C447,"AAAAAH7m/VQ=")</f>
        <v>#VALUE!</v>
      </c>
      <c r="CH26" t="e">
        <f>AND('Data Extract File Ty'!D447,"AAAAAH7m/VU=")</f>
        <v>#VALUE!</v>
      </c>
      <c r="CI26">
        <f>IF('Data Extract File Ty'!448:448,"AAAAAH7m/VY=",0)</f>
        <v>0</v>
      </c>
      <c r="CJ26" t="e">
        <f>AND('Data Extract File Ty'!A448,"AAAAAH7m/Vc=")</f>
        <v>#VALUE!</v>
      </c>
      <c r="CK26" t="e">
        <f>AND('Data Extract File Ty'!B448,"AAAAAH7m/Vg=")</f>
        <v>#VALUE!</v>
      </c>
      <c r="CL26" t="e">
        <f>AND('Data Extract File Ty'!C448,"AAAAAH7m/Vk=")</f>
        <v>#VALUE!</v>
      </c>
      <c r="CM26" t="e">
        <f>AND('Data Extract File Ty'!D448,"AAAAAH7m/Vo=")</f>
        <v>#VALUE!</v>
      </c>
      <c r="CN26">
        <f>IF('Data Extract File Ty'!449:449,"AAAAAH7m/Vs=",0)</f>
        <v>0</v>
      </c>
      <c r="CO26" t="e">
        <f>AND('Data Extract File Ty'!A449,"AAAAAH7m/Vw=")</f>
        <v>#VALUE!</v>
      </c>
      <c r="CP26" t="e">
        <f>AND('Data Extract File Ty'!B449,"AAAAAH7m/V0=")</f>
        <v>#VALUE!</v>
      </c>
      <c r="CQ26" t="e">
        <f>AND('Data Extract File Ty'!C449,"AAAAAH7m/V4=")</f>
        <v>#VALUE!</v>
      </c>
      <c r="CR26" t="e">
        <f>AND('Data Extract File Ty'!D449,"AAAAAH7m/V8=")</f>
        <v>#VALUE!</v>
      </c>
      <c r="CS26">
        <f>IF('Data Extract File Ty'!450:450,"AAAAAH7m/WA=",0)</f>
        <v>0</v>
      </c>
      <c r="CT26" t="e">
        <f>AND('Data Extract File Ty'!A450,"AAAAAH7m/WE=")</f>
        <v>#VALUE!</v>
      </c>
      <c r="CU26" t="e">
        <f>AND('Data Extract File Ty'!B450,"AAAAAH7m/WI=")</f>
        <v>#VALUE!</v>
      </c>
      <c r="CV26" t="e">
        <f>AND('Data Extract File Ty'!C450,"AAAAAH7m/WM=")</f>
        <v>#VALUE!</v>
      </c>
      <c r="CW26" t="e">
        <f>AND('Data Extract File Ty'!D450,"AAAAAH7m/WQ=")</f>
        <v>#VALUE!</v>
      </c>
      <c r="CX26">
        <f>IF('Data Extract File Ty'!451:451,"AAAAAH7m/WU=",0)</f>
        <v>0</v>
      </c>
      <c r="CY26" t="e">
        <f>AND('Data Extract File Ty'!A451,"AAAAAH7m/WY=")</f>
        <v>#VALUE!</v>
      </c>
      <c r="CZ26" t="e">
        <f>AND('Data Extract File Ty'!B451,"AAAAAH7m/Wc=")</f>
        <v>#VALUE!</v>
      </c>
      <c r="DA26" t="e">
        <f>AND('Data Extract File Ty'!C451,"AAAAAH7m/Wg=")</f>
        <v>#VALUE!</v>
      </c>
      <c r="DB26" t="e">
        <f>AND('Data Extract File Ty'!D451,"AAAAAH7m/Wk=")</f>
        <v>#VALUE!</v>
      </c>
      <c r="DC26">
        <f>IF('Data Extract File Ty'!452:452,"AAAAAH7m/Wo=",0)</f>
        <v>0</v>
      </c>
      <c r="DD26" t="e">
        <f>AND('Data Extract File Ty'!A452,"AAAAAH7m/Ws=")</f>
        <v>#VALUE!</v>
      </c>
      <c r="DE26" t="e">
        <f>AND('Data Extract File Ty'!B452,"AAAAAH7m/Ww=")</f>
        <v>#VALUE!</v>
      </c>
      <c r="DF26" t="e">
        <f>AND('Data Extract File Ty'!C452,"AAAAAH7m/W0=")</f>
        <v>#VALUE!</v>
      </c>
      <c r="DG26" t="e">
        <f>AND('Data Extract File Ty'!D452,"AAAAAH7m/W4=")</f>
        <v>#VALUE!</v>
      </c>
      <c r="DH26">
        <f>IF('Data Extract File Ty'!453:453,"AAAAAH7m/W8=",0)</f>
        <v>0</v>
      </c>
      <c r="DI26" t="e">
        <f>AND('Data Extract File Ty'!A453,"AAAAAH7m/XA=")</f>
        <v>#VALUE!</v>
      </c>
      <c r="DJ26" t="e">
        <f>AND('Data Extract File Ty'!B453,"AAAAAH7m/XE=")</f>
        <v>#VALUE!</v>
      </c>
      <c r="DK26" t="e">
        <f>AND('Data Extract File Ty'!C453,"AAAAAH7m/XI=")</f>
        <v>#VALUE!</v>
      </c>
      <c r="DL26" t="e">
        <f>AND('Data Extract File Ty'!D453,"AAAAAH7m/XM=")</f>
        <v>#VALUE!</v>
      </c>
      <c r="DM26">
        <f>IF('Data Extract File Ty'!454:454,"AAAAAH7m/XQ=",0)</f>
        <v>0</v>
      </c>
      <c r="DN26" t="e">
        <f>AND('Data Extract File Ty'!A454,"AAAAAH7m/XU=")</f>
        <v>#VALUE!</v>
      </c>
      <c r="DO26" t="e">
        <f>AND('Data Extract File Ty'!B454,"AAAAAH7m/XY=")</f>
        <v>#VALUE!</v>
      </c>
      <c r="DP26" t="e">
        <f>AND('Data Extract File Ty'!C454,"AAAAAH7m/Xc=")</f>
        <v>#VALUE!</v>
      </c>
      <c r="DQ26" t="e">
        <f>AND('Data Extract File Ty'!D454,"AAAAAH7m/Xg=")</f>
        <v>#VALUE!</v>
      </c>
      <c r="DR26">
        <f>IF('Data Extract File Ty'!455:455,"AAAAAH7m/Xk=",0)</f>
        <v>0</v>
      </c>
      <c r="DS26" t="e">
        <f>AND('Data Extract File Ty'!A455,"AAAAAH7m/Xo=")</f>
        <v>#VALUE!</v>
      </c>
      <c r="DT26" t="e">
        <f>AND('Data Extract File Ty'!B455,"AAAAAH7m/Xs=")</f>
        <v>#VALUE!</v>
      </c>
      <c r="DU26" t="e">
        <f>AND('Data Extract File Ty'!C455,"AAAAAH7m/Xw=")</f>
        <v>#VALUE!</v>
      </c>
      <c r="DV26" t="e">
        <f>AND('Data Extract File Ty'!D455,"AAAAAH7m/X0=")</f>
        <v>#VALUE!</v>
      </c>
      <c r="DW26">
        <f>IF('Data Extract File Ty'!456:456,"AAAAAH7m/X4=",0)</f>
        <v>0</v>
      </c>
      <c r="DX26" t="e">
        <f>AND('Data Extract File Ty'!A456,"AAAAAH7m/X8=")</f>
        <v>#VALUE!</v>
      </c>
      <c r="DY26" t="e">
        <f>AND('Data Extract File Ty'!B456,"AAAAAH7m/YA=")</f>
        <v>#VALUE!</v>
      </c>
      <c r="DZ26" t="e">
        <f>AND('Data Extract File Ty'!C456,"AAAAAH7m/YE=")</f>
        <v>#VALUE!</v>
      </c>
      <c r="EA26" t="e">
        <f>AND('Data Extract File Ty'!D456,"AAAAAH7m/YI=")</f>
        <v>#VALUE!</v>
      </c>
      <c r="EB26">
        <f>IF('Data Extract File Ty'!457:457,"AAAAAH7m/YM=",0)</f>
        <v>0</v>
      </c>
      <c r="EC26" t="e">
        <f>AND('Data Extract File Ty'!A457,"AAAAAH7m/YQ=")</f>
        <v>#VALUE!</v>
      </c>
      <c r="ED26" t="e">
        <f>AND('Data Extract File Ty'!B457,"AAAAAH7m/YU=")</f>
        <v>#VALUE!</v>
      </c>
      <c r="EE26" t="e">
        <f>AND('Data Extract File Ty'!C457,"AAAAAH7m/YY=")</f>
        <v>#VALUE!</v>
      </c>
      <c r="EF26" t="e">
        <f>AND('Data Extract File Ty'!D457,"AAAAAH7m/Yc=")</f>
        <v>#VALUE!</v>
      </c>
      <c r="EG26">
        <f>IF('Data Extract File Ty'!458:458,"AAAAAH7m/Yg=",0)</f>
        <v>0</v>
      </c>
      <c r="EH26" t="e">
        <f>AND('Data Extract File Ty'!A458,"AAAAAH7m/Yk=")</f>
        <v>#VALUE!</v>
      </c>
      <c r="EI26" t="e">
        <f>AND('Data Extract File Ty'!B458,"AAAAAH7m/Yo=")</f>
        <v>#VALUE!</v>
      </c>
      <c r="EJ26" t="e">
        <f>AND('Data Extract File Ty'!C458,"AAAAAH7m/Ys=")</f>
        <v>#VALUE!</v>
      </c>
      <c r="EK26" t="e">
        <f>AND('Data Extract File Ty'!D458,"AAAAAH7m/Yw=")</f>
        <v>#VALUE!</v>
      </c>
      <c r="EL26">
        <f>IF('Data Extract File Ty'!459:459,"AAAAAH7m/Y0=",0)</f>
        <v>0</v>
      </c>
      <c r="EM26" t="e">
        <f>AND('Data Extract File Ty'!A459,"AAAAAH7m/Y4=")</f>
        <v>#VALUE!</v>
      </c>
      <c r="EN26" t="e">
        <f>AND('Data Extract File Ty'!B459,"AAAAAH7m/Y8=")</f>
        <v>#VALUE!</v>
      </c>
      <c r="EO26" t="e">
        <f>AND('Data Extract File Ty'!C459,"AAAAAH7m/ZA=")</f>
        <v>#VALUE!</v>
      </c>
      <c r="EP26" t="e">
        <f>AND('Data Extract File Ty'!D459,"AAAAAH7m/ZE=")</f>
        <v>#VALUE!</v>
      </c>
      <c r="EQ26">
        <f>IF('Data Extract File Ty'!460:460,"AAAAAH7m/ZI=",0)</f>
        <v>0</v>
      </c>
      <c r="ER26" t="e">
        <f>AND('Data Extract File Ty'!A460,"AAAAAH7m/ZM=")</f>
        <v>#VALUE!</v>
      </c>
      <c r="ES26" t="e">
        <f>AND('Data Extract File Ty'!B460,"AAAAAH7m/ZQ=")</f>
        <v>#VALUE!</v>
      </c>
      <c r="ET26" t="e">
        <f>AND('Data Extract File Ty'!C460,"AAAAAH7m/ZU=")</f>
        <v>#VALUE!</v>
      </c>
      <c r="EU26" t="e">
        <f>AND('Data Extract File Ty'!D460,"AAAAAH7m/ZY=")</f>
        <v>#VALUE!</v>
      </c>
      <c r="EV26">
        <f>IF('Data Extract File Ty'!461:461,"AAAAAH7m/Zc=",0)</f>
        <v>0</v>
      </c>
      <c r="EW26" t="e">
        <f>AND('Data Extract File Ty'!A461,"AAAAAH7m/Zg=")</f>
        <v>#VALUE!</v>
      </c>
      <c r="EX26" t="e">
        <f>AND('Data Extract File Ty'!B461,"AAAAAH7m/Zk=")</f>
        <v>#VALUE!</v>
      </c>
      <c r="EY26" t="e">
        <f>AND('Data Extract File Ty'!C461,"AAAAAH7m/Zo=")</f>
        <v>#VALUE!</v>
      </c>
      <c r="EZ26" t="e">
        <f>AND('Data Extract File Ty'!D461,"AAAAAH7m/Zs=")</f>
        <v>#VALUE!</v>
      </c>
      <c r="FA26">
        <f>IF('Data Extract File Ty'!462:462,"AAAAAH7m/Zw=",0)</f>
        <v>0</v>
      </c>
      <c r="FB26" t="e">
        <f>AND('Data Extract File Ty'!A462,"AAAAAH7m/Z0=")</f>
        <v>#VALUE!</v>
      </c>
      <c r="FC26" t="e">
        <f>AND('Data Extract File Ty'!B462,"AAAAAH7m/Z4=")</f>
        <v>#VALUE!</v>
      </c>
      <c r="FD26" t="e">
        <f>AND('Data Extract File Ty'!C462,"AAAAAH7m/Z8=")</f>
        <v>#VALUE!</v>
      </c>
      <c r="FE26" t="e">
        <f>AND('Data Extract File Ty'!D462,"AAAAAH7m/aA=")</f>
        <v>#VALUE!</v>
      </c>
      <c r="FF26">
        <f>IF('Data Extract File Ty'!463:463,"AAAAAH7m/aE=",0)</f>
        <v>0</v>
      </c>
      <c r="FG26" t="e">
        <f>AND('Data Extract File Ty'!A463,"AAAAAH7m/aI=")</f>
        <v>#VALUE!</v>
      </c>
      <c r="FH26" t="e">
        <f>AND('Data Extract File Ty'!B463,"AAAAAH7m/aM=")</f>
        <v>#VALUE!</v>
      </c>
      <c r="FI26" t="e">
        <f>AND('Data Extract File Ty'!C463,"AAAAAH7m/aQ=")</f>
        <v>#VALUE!</v>
      </c>
      <c r="FJ26" t="e">
        <f>AND('Data Extract File Ty'!D463,"AAAAAH7m/aU=")</f>
        <v>#VALUE!</v>
      </c>
      <c r="FK26">
        <f>IF('Data Extract File Ty'!464:464,"AAAAAH7m/aY=",0)</f>
        <v>0</v>
      </c>
      <c r="FL26" t="e">
        <f>AND('Data Extract File Ty'!A464,"AAAAAH7m/ac=")</f>
        <v>#VALUE!</v>
      </c>
      <c r="FM26" t="e">
        <f>AND('Data Extract File Ty'!B464,"AAAAAH7m/ag=")</f>
        <v>#VALUE!</v>
      </c>
      <c r="FN26" t="e">
        <f>AND('Data Extract File Ty'!C464,"AAAAAH7m/ak=")</f>
        <v>#VALUE!</v>
      </c>
      <c r="FO26" t="e">
        <f>AND('Data Extract File Ty'!D464,"AAAAAH7m/ao=")</f>
        <v>#VALUE!</v>
      </c>
      <c r="FP26">
        <f>IF('Data Extract File Ty'!465:465,"AAAAAH7m/as=",0)</f>
        <v>0</v>
      </c>
      <c r="FQ26" t="e">
        <f>AND('Data Extract File Ty'!A465,"AAAAAH7m/aw=")</f>
        <v>#VALUE!</v>
      </c>
      <c r="FR26" t="e">
        <f>AND('Data Extract File Ty'!B465,"AAAAAH7m/a0=")</f>
        <v>#VALUE!</v>
      </c>
      <c r="FS26" t="e">
        <f>AND('Data Extract File Ty'!C465,"AAAAAH7m/a4=")</f>
        <v>#VALUE!</v>
      </c>
      <c r="FT26" t="e">
        <f>AND('Data Extract File Ty'!D465,"AAAAAH7m/a8=")</f>
        <v>#VALUE!</v>
      </c>
      <c r="FU26">
        <f>IF('Data Extract File Ty'!466:466,"AAAAAH7m/bA=",0)</f>
        <v>0</v>
      </c>
      <c r="FV26" t="e">
        <f>AND('Data Extract File Ty'!A466,"AAAAAH7m/bE=")</f>
        <v>#VALUE!</v>
      </c>
      <c r="FW26" t="e">
        <f>AND('Data Extract File Ty'!B466,"AAAAAH7m/bI=")</f>
        <v>#VALUE!</v>
      </c>
      <c r="FX26" t="e">
        <f>AND('Data Extract File Ty'!C466,"AAAAAH7m/bM=")</f>
        <v>#VALUE!</v>
      </c>
      <c r="FY26" t="e">
        <f>AND('Data Extract File Ty'!D466,"AAAAAH7m/bQ=")</f>
        <v>#VALUE!</v>
      </c>
      <c r="FZ26">
        <f>IF('Data Extract File Ty'!467:467,"AAAAAH7m/bU=",0)</f>
        <v>0</v>
      </c>
      <c r="GA26" t="e">
        <f>AND('Data Extract File Ty'!A467,"AAAAAH7m/bY=")</f>
        <v>#VALUE!</v>
      </c>
      <c r="GB26" t="e">
        <f>AND('Data Extract File Ty'!B467,"AAAAAH7m/bc=")</f>
        <v>#VALUE!</v>
      </c>
      <c r="GC26" t="e">
        <f>AND('Data Extract File Ty'!C467,"AAAAAH7m/bg=")</f>
        <v>#VALUE!</v>
      </c>
      <c r="GD26" t="e">
        <f>AND('Data Extract File Ty'!D467,"AAAAAH7m/bk=")</f>
        <v>#VALUE!</v>
      </c>
      <c r="GE26">
        <f>IF('Data Extract File Ty'!468:468,"AAAAAH7m/bo=",0)</f>
        <v>0</v>
      </c>
      <c r="GF26" t="e">
        <f>AND('Data Extract File Ty'!A468,"AAAAAH7m/bs=")</f>
        <v>#VALUE!</v>
      </c>
      <c r="GG26" t="e">
        <f>AND('Data Extract File Ty'!B468,"AAAAAH7m/bw=")</f>
        <v>#VALUE!</v>
      </c>
      <c r="GH26" t="e">
        <f>AND('Data Extract File Ty'!C468,"AAAAAH7m/b0=")</f>
        <v>#VALUE!</v>
      </c>
      <c r="GI26" t="e">
        <f>AND('Data Extract File Ty'!D468,"AAAAAH7m/b4=")</f>
        <v>#VALUE!</v>
      </c>
      <c r="GJ26">
        <f>IF('Data Extract File Ty'!469:469,"AAAAAH7m/b8=",0)</f>
        <v>0</v>
      </c>
      <c r="GK26" t="e">
        <f>AND('Data Extract File Ty'!A469,"AAAAAH7m/cA=")</f>
        <v>#VALUE!</v>
      </c>
      <c r="GL26" t="e">
        <f>AND('Data Extract File Ty'!B469,"AAAAAH7m/cE=")</f>
        <v>#VALUE!</v>
      </c>
      <c r="GM26" t="e">
        <f>AND('Data Extract File Ty'!C469,"AAAAAH7m/cI=")</f>
        <v>#VALUE!</v>
      </c>
      <c r="GN26" t="e">
        <f>AND('Data Extract File Ty'!D469,"AAAAAH7m/cM=")</f>
        <v>#VALUE!</v>
      </c>
      <c r="GO26">
        <f>IF('Data Extract File Ty'!470:470,"AAAAAH7m/cQ=",0)</f>
        <v>0</v>
      </c>
      <c r="GP26" t="e">
        <f>AND('Data Extract File Ty'!A470,"AAAAAH7m/cU=")</f>
        <v>#VALUE!</v>
      </c>
      <c r="GQ26" t="e">
        <f>AND('Data Extract File Ty'!B470,"AAAAAH7m/cY=")</f>
        <v>#VALUE!</v>
      </c>
      <c r="GR26" t="e">
        <f>AND('Data Extract File Ty'!C470,"AAAAAH7m/cc=")</f>
        <v>#VALUE!</v>
      </c>
      <c r="GS26" t="e">
        <f>AND('Data Extract File Ty'!D470,"AAAAAH7m/cg=")</f>
        <v>#VALUE!</v>
      </c>
      <c r="GT26">
        <f>IF('Data Extract File Ty'!471:471,"AAAAAH7m/ck=",0)</f>
        <v>0</v>
      </c>
      <c r="GU26" t="e">
        <f>AND('Data Extract File Ty'!A471,"AAAAAH7m/co=")</f>
        <v>#VALUE!</v>
      </c>
      <c r="GV26" t="e">
        <f>AND('Data Extract File Ty'!B471,"AAAAAH7m/cs=")</f>
        <v>#VALUE!</v>
      </c>
      <c r="GW26" t="e">
        <f>AND('Data Extract File Ty'!C471,"AAAAAH7m/cw=")</f>
        <v>#VALUE!</v>
      </c>
      <c r="GX26" t="e">
        <f>AND('Data Extract File Ty'!D471,"AAAAAH7m/c0=")</f>
        <v>#VALUE!</v>
      </c>
      <c r="GY26">
        <f>IF('Data Extract File Ty'!472:472,"AAAAAH7m/c4=",0)</f>
        <v>0</v>
      </c>
      <c r="GZ26" t="e">
        <f>AND('Data Extract File Ty'!A472,"AAAAAH7m/c8=")</f>
        <v>#VALUE!</v>
      </c>
      <c r="HA26" t="e">
        <f>AND('Data Extract File Ty'!B472,"AAAAAH7m/dA=")</f>
        <v>#VALUE!</v>
      </c>
      <c r="HB26" t="e">
        <f>AND('Data Extract File Ty'!C472,"AAAAAH7m/dE=")</f>
        <v>#VALUE!</v>
      </c>
      <c r="HC26" t="e">
        <f>AND('Data Extract File Ty'!D472,"AAAAAH7m/dI=")</f>
        <v>#VALUE!</v>
      </c>
      <c r="HD26">
        <f>IF('Data Extract File Ty'!473:473,"AAAAAH7m/dM=",0)</f>
        <v>0</v>
      </c>
      <c r="HE26" t="e">
        <f>AND('Data Extract File Ty'!A473,"AAAAAH7m/dQ=")</f>
        <v>#VALUE!</v>
      </c>
      <c r="HF26" t="e">
        <f>AND('Data Extract File Ty'!B473,"AAAAAH7m/dU=")</f>
        <v>#VALUE!</v>
      </c>
      <c r="HG26" t="e">
        <f>AND('Data Extract File Ty'!C473,"AAAAAH7m/dY=")</f>
        <v>#VALUE!</v>
      </c>
      <c r="HH26" t="e">
        <f>AND('Data Extract File Ty'!D473,"AAAAAH7m/dc=")</f>
        <v>#VALUE!</v>
      </c>
      <c r="HI26">
        <f>IF('Data Extract File Ty'!474:474,"AAAAAH7m/dg=",0)</f>
        <v>0</v>
      </c>
      <c r="HJ26" t="e">
        <f>AND('Data Extract File Ty'!A474,"AAAAAH7m/dk=")</f>
        <v>#VALUE!</v>
      </c>
      <c r="HK26" t="e">
        <f>AND('Data Extract File Ty'!B474,"AAAAAH7m/do=")</f>
        <v>#VALUE!</v>
      </c>
      <c r="HL26" t="e">
        <f>AND('Data Extract File Ty'!C474,"AAAAAH7m/ds=")</f>
        <v>#VALUE!</v>
      </c>
      <c r="HM26" t="e">
        <f>AND('Data Extract File Ty'!D474,"AAAAAH7m/dw=")</f>
        <v>#VALUE!</v>
      </c>
      <c r="HN26">
        <f>IF('Data Extract File Ty'!475:475,"AAAAAH7m/d0=",0)</f>
        <v>0</v>
      </c>
      <c r="HO26" t="e">
        <f>AND('Data Extract File Ty'!A475,"AAAAAH7m/d4=")</f>
        <v>#VALUE!</v>
      </c>
      <c r="HP26" t="e">
        <f>AND('Data Extract File Ty'!B475,"AAAAAH7m/d8=")</f>
        <v>#VALUE!</v>
      </c>
      <c r="HQ26" t="e">
        <f>AND('Data Extract File Ty'!C475,"AAAAAH7m/eA=")</f>
        <v>#VALUE!</v>
      </c>
      <c r="HR26" t="e">
        <f>AND('Data Extract File Ty'!D475,"AAAAAH7m/eE=")</f>
        <v>#VALUE!</v>
      </c>
      <c r="HS26">
        <f>IF('Data Extract File Ty'!476:476,"AAAAAH7m/eI=",0)</f>
        <v>0</v>
      </c>
      <c r="HT26" t="e">
        <f>AND('Data Extract File Ty'!A476,"AAAAAH7m/eM=")</f>
        <v>#VALUE!</v>
      </c>
      <c r="HU26" t="e">
        <f>AND('Data Extract File Ty'!B476,"AAAAAH7m/eQ=")</f>
        <v>#VALUE!</v>
      </c>
      <c r="HV26" t="e">
        <f>AND('Data Extract File Ty'!C476,"AAAAAH7m/eU=")</f>
        <v>#VALUE!</v>
      </c>
      <c r="HW26" t="e">
        <f>AND('Data Extract File Ty'!D476,"AAAAAH7m/eY=")</f>
        <v>#VALUE!</v>
      </c>
      <c r="HX26">
        <f>IF('Data Extract File Ty'!477:477,"AAAAAH7m/ec=",0)</f>
        <v>0</v>
      </c>
      <c r="HY26" t="e">
        <f>AND('Data Extract File Ty'!A477,"AAAAAH7m/eg=")</f>
        <v>#VALUE!</v>
      </c>
      <c r="HZ26" t="e">
        <f>AND('Data Extract File Ty'!B477,"AAAAAH7m/ek=")</f>
        <v>#VALUE!</v>
      </c>
      <c r="IA26" t="e">
        <f>AND('Data Extract File Ty'!C477,"AAAAAH7m/eo=")</f>
        <v>#VALUE!</v>
      </c>
      <c r="IB26" t="e">
        <f>AND('Data Extract File Ty'!D477,"AAAAAH7m/es=")</f>
        <v>#VALUE!</v>
      </c>
      <c r="IC26">
        <f>IF('Data Extract File Ty'!478:478,"AAAAAH7m/ew=",0)</f>
        <v>0</v>
      </c>
      <c r="ID26" t="e">
        <f>AND('Data Extract File Ty'!A478,"AAAAAH7m/e0=")</f>
        <v>#VALUE!</v>
      </c>
      <c r="IE26" t="e">
        <f>AND('Data Extract File Ty'!B478,"AAAAAH7m/e4=")</f>
        <v>#VALUE!</v>
      </c>
      <c r="IF26" t="e">
        <f>AND('Data Extract File Ty'!C478,"AAAAAH7m/e8=")</f>
        <v>#VALUE!</v>
      </c>
      <c r="IG26" t="e">
        <f>AND('Data Extract File Ty'!D478,"AAAAAH7m/fA=")</f>
        <v>#VALUE!</v>
      </c>
      <c r="IH26">
        <f>IF('Data Extract File Ty'!479:479,"AAAAAH7m/fE=",0)</f>
        <v>0</v>
      </c>
      <c r="II26" t="e">
        <f>AND('Data Extract File Ty'!A479,"AAAAAH7m/fI=")</f>
        <v>#VALUE!</v>
      </c>
      <c r="IJ26" t="e">
        <f>AND('Data Extract File Ty'!B479,"AAAAAH7m/fM=")</f>
        <v>#VALUE!</v>
      </c>
      <c r="IK26" t="e">
        <f>AND('Data Extract File Ty'!C479,"AAAAAH7m/fQ=")</f>
        <v>#VALUE!</v>
      </c>
      <c r="IL26" t="e">
        <f>AND('Data Extract File Ty'!D479,"AAAAAH7m/fU=")</f>
        <v>#VALUE!</v>
      </c>
      <c r="IM26">
        <f>IF('Data Extract File Ty'!480:480,"AAAAAH7m/fY=",0)</f>
        <v>0</v>
      </c>
      <c r="IN26" t="e">
        <f>AND('Data Extract File Ty'!A480,"AAAAAH7m/fc=")</f>
        <v>#VALUE!</v>
      </c>
      <c r="IO26" t="e">
        <f>AND('Data Extract File Ty'!B480,"AAAAAH7m/fg=")</f>
        <v>#VALUE!</v>
      </c>
      <c r="IP26" t="e">
        <f>AND('Data Extract File Ty'!C480,"AAAAAH7m/fk=")</f>
        <v>#VALUE!</v>
      </c>
      <c r="IQ26" t="e">
        <f>AND('Data Extract File Ty'!D480,"AAAAAH7m/fo=")</f>
        <v>#VALUE!</v>
      </c>
      <c r="IR26">
        <f>IF('Data Extract File Ty'!481:481,"AAAAAH7m/fs=",0)</f>
        <v>0</v>
      </c>
      <c r="IS26" t="e">
        <f>AND('Data Extract File Ty'!A481,"AAAAAH7m/fw=")</f>
        <v>#VALUE!</v>
      </c>
      <c r="IT26" t="e">
        <f>AND('Data Extract File Ty'!B481,"AAAAAH7m/f0=")</f>
        <v>#VALUE!</v>
      </c>
      <c r="IU26" t="e">
        <f>AND('Data Extract File Ty'!C481,"AAAAAH7m/f4=")</f>
        <v>#VALUE!</v>
      </c>
      <c r="IV26" t="e">
        <f>AND('Data Extract File Ty'!D481,"AAAAAH7m/f8=")</f>
        <v>#VALUE!</v>
      </c>
    </row>
    <row r="27" spans="1:256" x14ac:dyDescent="0.2">
      <c r="A27" t="e">
        <f>IF('Data Extract File Ty'!482:482,"AAAAAHO+3wA=",0)</f>
        <v>#VALUE!</v>
      </c>
      <c r="B27" t="e">
        <f>AND('Data Extract File Ty'!A482,"AAAAAHO+3wE=")</f>
        <v>#VALUE!</v>
      </c>
      <c r="C27" t="e">
        <f>AND('Data Extract File Ty'!B482,"AAAAAHO+3wI=")</f>
        <v>#VALUE!</v>
      </c>
      <c r="D27" t="e">
        <f>AND('Data Extract File Ty'!C482,"AAAAAHO+3wM=")</f>
        <v>#VALUE!</v>
      </c>
      <c r="E27" t="e">
        <f>AND('Data Extract File Ty'!D482,"AAAAAHO+3wQ=")</f>
        <v>#VALUE!</v>
      </c>
      <c r="F27">
        <f>IF('Data Extract File Ty'!483:483,"AAAAAHO+3wU=",0)</f>
        <v>0</v>
      </c>
      <c r="G27" t="e">
        <f>AND('Data Extract File Ty'!A483,"AAAAAHO+3wY=")</f>
        <v>#VALUE!</v>
      </c>
      <c r="H27" t="e">
        <f>AND('Data Extract File Ty'!B483,"AAAAAHO+3wc=")</f>
        <v>#VALUE!</v>
      </c>
      <c r="I27" t="e">
        <f>AND('Data Extract File Ty'!C483,"AAAAAHO+3wg=")</f>
        <v>#VALUE!</v>
      </c>
      <c r="J27" t="e">
        <f>AND('Data Extract File Ty'!D483,"AAAAAHO+3wk=")</f>
        <v>#VALUE!</v>
      </c>
      <c r="K27">
        <f>IF('Data Extract File Ty'!484:484,"AAAAAHO+3wo=",0)</f>
        <v>0</v>
      </c>
      <c r="L27" t="e">
        <f>AND('Data Extract File Ty'!A484,"AAAAAHO+3ws=")</f>
        <v>#VALUE!</v>
      </c>
      <c r="M27" t="e">
        <f>AND('Data Extract File Ty'!B484,"AAAAAHO+3ww=")</f>
        <v>#VALUE!</v>
      </c>
      <c r="N27" t="e">
        <f>AND('Data Extract File Ty'!C484,"AAAAAHO+3w0=")</f>
        <v>#VALUE!</v>
      </c>
      <c r="O27" t="e">
        <f>AND('Data Extract File Ty'!D484,"AAAAAHO+3w4=")</f>
        <v>#VALUE!</v>
      </c>
      <c r="P27">
        <f>IF('Data Extract File Ty'!485:485,"AAAAAHO+3w8=",0)</f>
        <v>0</v>
      </c>
      <c r="Q27" t="e">
        <f>AND('Data Extract File Ty'!A485,"AAAAAHO+3xA=")</f>
        <v>#VALUE!</v>
      </c>
      <c r="R27" t="e">
        <f>AND('Data Extract File Ty'!B485,"AAAAAHO+3xE=")</f>
        <v>#VALUE!</v>
      </c>
      <c r="S27" t="e">
        <f>AND('Data Extract File Ty'!C485,"AAAAAHO+3xI=")</f>
        <v>#VALUE!</v>
      </c>
      <c r="T27" t="e">
        <f>AND('Data Extract File Ty'!D485,"AAAAAHO+3xM=")</f>
        <v>#VALUE!</v>
      </c>
      <c r="U27">
        <f>IF('Data Extract File Ty'!486:486,"AAAAAHO+3xQ=",0)</f>
        <v>0</v>
      </c>
      <c r="V27" t="e">
        <f>AND('Data Extract File Ty'!A486,"AAAAAHO+3xU=")</f>
        <v>#VALUE!</v>
      </c>
      <c r="W27" t="e">
        <f>AND('Data Extract File Ty'!B486,"AAAAAHO+3xY=")</f>
        <v>#VALUE!</v>
      </c>
      <c r="X27" t="e">
        <f>AND('Data Extract File Ty'!C486,"AAAAAHO+3xc=")</f>
        <v>#VALUE!</v>
      </c>
      <c r="Y27" t="e">
        <f>AND('Data Extract File Ty'!D486,"AAAAAHO+3xg=")</f>
        <v>#VALUE!</v>
      </c>
      <c r="Z27">
        <f>IF('Data Extract File Ty'!487:487,"AAAAAHO+3xk=",0)</f>
        <v>0</v>
      </c>
      <c r="AA27" t="e">
        <f>AND('Data Extract File Ty'!A487,"AAAAAHO+3xo=")</f>
        <v>#VALUE!</v>
      </c>
      <c r="AB27" t="e">
        <f>AND('Data Extract File Ty'!B487,"AAAAAHO+3xs=")</f>
        <v>#VALUE!</v>
      </c>
      <c r="AC27" t="e">
        <f>AND('Data Extract File Ty'!C487,"AAAAAHO+3xw=")</f>
        <v>#VALUE!</v>
      </c>
      <c r="AD27" t="e">
        <f>AND('Data Extract File Ty'!D487,"AAAAAHO+3x0=")</f>
        <v>#VALUE!</v>
      </c>
      <c r="AE27">
        <f>IF('Data Extract File Ty'!488:488,"AAAAAHO+3x4=",0)</f>
        <v>0</v>
      </c>
      <c r="AF27" t="e">
        <f>AND('Data Extract File Ty'!A488,"AAAAAHO+3x8=")</f>
        <v>#VALUE!</v>
      </c>
      <c r="AG27" t="e">
        <f>AND('Data Extract File Ty'!B488,"AAAAAHO+3yA=")</f>
        <v>#VALUE!</v>
      </c>
      <c r="AH27" t="e">
        <f>AND('Data Extract File Ty'!C488,"AAAAAHO+3yE=")</f>
        <v>#VALUE!</v>
      </c>
      <c r="AI27" t="e">
        <f>AND('Data Extract File Ty'!D488,"AAAAAHO+3yI=")</f>
        <v>#VALUE!</v>
      </c>
      <c r="AJ27">
        <f>IF('Data Extract File Ty'!489:489,"AAAAAHO+3yM=",0)</f>
        <v>0</v>
      </c>
      <c r="AK27" t="e">
        <f>AND('Data Extract File Ty'!A489,"AAAAAHO+3yQ=")</f>
        <v>#VALUE!</v>
      </c>
      <c r="AL27" t="e">
        <f>AND('Data Extract File Ty'!B489,"AAAAAHO+3yU=")</f>
        <v>#VALUE!</v>
      </c>
      <c r="AM27" t="e">
        <f>AND('Data Extract File Ty'!C489,"AAAAAHO+3yY=")</f>
        <v>#VALUE!</v>
      </c>
      <c r="AN27" t="e">
        <f>AND('Data Extract File Ty'!D489,"AAAAAHO+3yc=")</f>
        <v>#VALUE!</v>
      </c>
      <c r="AO27">
        <f>IF('Data Extract File Ty'!490:490,"AAAAAHO+3yg=",0)</f>
        <v>0</v>
      </c>
      <c r="AP27" t="e">
        <f>AND('Data Extract File Ty'!A490,"AAAAAHO+3yk=")</f>
        <v>#VALUE!</v>
      </c>
      <c r="AQ27" t="e">
        <f>AND('Data Extract File Ty'!B490,"AAAAAHO+3yo=")</f>
        <v>#VALUE!</v>
      </c>
      <c r="AR27" t="e">
        <f>AND('Data Extract File Ty'!C490,"AAAAAHO+3ys=")</f>
        <v>#VALUE!</v>
      </c>
      <c r="AS27" t="e">
        <f>AND('Data Extract File Ty'!D490,"AAAAAHO+3yw=")</f>
        <v>#VALUE!</v>
      </c>
      <c r="AT27">
        <f>IF('Data Extract File Ty'!491:491,"AAAAAHO+3y0=",0)</f>
        <v>0</v>
      </c>
      <c r="AU27" t="e">
        <f>AND('Data Extract File Ty'!A491,"AAAAAHO+3y4=")</f>
        <v>#VALUE!</v>
      </c>
      <c r="AV27" t="e">
        <f>AND('Data Extract File Ty'!B491,"AAAAAHO+3y8=")</f>
        <v>#VALUE!</v>
      </c>
      <c r="AW27" t="e">
        <f>AND('Data Extract File Ty'!C491,"AAAAAHO+3zA=")</f>
        <v>#VALUE!</v>
      </c>
      <c r="AX27" t="e">
        <f>AND('Data Extract File Ty'!D491,"AAAAAHO+3zE=")</f>
        <v>#VALUE!</v>
      </c>
      <c r="AY27">
        <f>IF('Data Extract File Ty'!492:492,"AAAAAHO+3zI=",0)</f>
        <v>0</v>
      </c>
      <c r="AZ27" t="e">
        <f>AND('Data Extract File Ty'!A492,"AAAAAHO+3zM=")</f>
        <v>#VALUE!</v>
      </c>
      <c r="BA27" t="e">
        <f>AND('Data Extract File Ty'!B492,"AAAAAHO+3zQ=")</f>
        <v>#VALUE!</v>
      </c>
      <c r="BB27" t="e">
        <f>AND('Data Extract File Ty'!C492,"AAAAAHO+3zU=")</f>
        <v>#VALUE!</v>
      </c>
      <c r="BC27" t="e">
        <f>AND('Data Extract File Ty'!D492,"AAAAAHO+3zY=")</f>
        <v>#VALUE!</v>
      </c>
      <c r="BD27">
        <f>IF('Data Extract File Ty'!493:493,"AAAAAHO+3zc=",0)</f>
        <v>0</v>
      </c>
      <c r="BE27" t="e">
        <f>AND('Data Extract File Ty'!A493,"AAAAAHO+3zg=")</f>
        <v>#VALUE!</v>
      </c>
      <c r="BF27" t="e">
        <f>AND('Data Extract File Ty'!B493,"AAAAAHO+3zk=")</f>
        <v>#VALUE!</v>
      </c>
      <c r="BG27" t="e">
        <f>AND('Data Extract File Ty'!C493,"AAAAAHO+3zo=")</f>
        <v>#VALUE!</v>
      </c>
      <c r="BH27" t="e">
        <f>AND('Data Extract File Ty'!D493,"AAAAAHO+3zs=")</f>
        <v>#VALUE!</v>
      </c>
      <c r="BI27">
        <f>IF('Data Extract File Ty'!494:494,"AAAAAHO+3zw=",0)</f>
        <v>0</v>
      </c>
      <c r="BJ27" t="e">
        <f>AND('Data Extract File Ty'!A494,"AAAAAHO+3z0=")</f>
        <v>#VALUE!</v>
      </c>
      <c r="BK27" t="e">
        <f>AND('Data Extract File Ty'!B494,"AAAAAHO+3z4=")</f>
        <v>#VALUE!</v>
      </c>
      <c r="BL27" t="e">
        <f>AND('Data Extract File Ty'!C494,"AAAAAHO+3z8=")</f>
        <v>#VALUE!</v>
      </c>
      <c r="BM27" t="e">
        <f>AND('Data Extract File Ty'!D494,"AAAAAHO+30A=")</f>
        <v>#VALUE!</v>
      </c>
      <c r="BN27">
        <f>IF('Data Extract File Ty'!495:495,"AAAAAHO+30E=",0)</f>
        <v>0</v>
      </c>
      <c r="BO27" t="e">
        <f>AND('Data Extract File Ty'!A495,"AAAAAHO+30I=")</f>
        <v>#VALUE!</v>
      </c>
      <c r="BP27" t="e">
        <f>AND('Data Extract File Ty'!B495,"AAAAAHO+30M=")</f>
        <v>#VALUE!</v>
      </c>
      <c r="BQ27" t="e">
        <f>AND('Data Extract File Ty'!C495,"AAAAAHO+30Q=")</f>
        <v>#VALUE!</v>
      </c>
      <c r="BR27" t="e">
        <f>AND('Data Extract File Ty'!D495,"AAAAAHO+30U=")</f>
        <v>#VALUE!</v>
      </c>
      <c r="BS27">
        <f>IF('Data Extract File Ty'!496:496,"AAAAAHO+30Y=",0)</f>
        <v>0</v>
      </c>
      <c r="BT27" t="e">
        <f>AND('Data Extract File Ty'!A496,"AAAAAHO+30c=")</f>
        <v>#VALUE!</v>
      </c>
      <c r="BU27" t="e">
        <f>AND('Data Extract File Ty'!B496,"AAAAAHO+30g=")</f>
        <v>#VALUE!</v>
      </c>
      <c r="BV27" t="e">
        <f>AND('Data Extract File Ty'!C496,"AAAAAHO+30k=")</f>
        <v>#VALUE!</v>
      </c>
      <c r="BW27" t="e">
        <f>AND('Data Extract File Ty'!D496,"AAAAAHO+30o=")</f>
        <v>#VALUE!</v>
      </c>
      <c r="BX27">
        <f>IF('Data Extract File Ty'!497:497,"AAAAAHO+30s=",0)</f>
        <v>0</v>
      </c>
      <c r="BY27" t="e">
        <f>AND('Data Extract File Ty'!A497,"AAAAAHO+30w=")</f>
        <v>#VALUE!</v>
      </c>
      <c r="BZ27" t="e">
        <f>AND('Data Extract File Ty'!B497,"AAAAAHO+300=")</f>
        <v>#VALUE!</v>
      </c>
      <c r="CA27" t="e">
        <f>AND('Data Extract File Ty'!C497,"AAAAAHO+304=")</f>
        <v>#VALUE!</v>
      </c>
      <c r="CB27" t="e">
        <f>AND('Data Extract File Ty'!D497,"AAAAAHO+308=")</f>
        <v>#VALUE!</v>
      </c>
      <c r="CC27">
        <f>IF('Data Extract File Ty'!498:498,"AAAAAHO+31A=",0)</f>
        <v>0</v>
      </c>
      <c r="CD27" t="e">
        <f>AND('Data Extract File Ty'!A498,"AAAAAHO+31E=")</f>
        <v>#VALUE!</v>
      </c>
      <c r="CE27" t="e">
        <f>AND('Data Extract File Ty'!B498,"AAAAAHO+31I=")</f>
        <v>#VALUE!</v>
      </c>
      <c r="CF27" t="e">
        <f>AND('Data Extract File Ty'!C498,"AAAAAHO+31M=")</f>
        <v>#VALUE!</v>
      </c>
      <c r="CG27" t="e">
        <f>AND('Data Extract File Ty'!D498,"AAAAAHO+31Q=")</f>
        <v>#VALUE!</v>
      </c>
      <c r="CH27">
        <f>IF('Data Extract File Ty'!499:499,"AAAAAHO+31U=",0)</f>
        <v>0</v>
      </c>
      <c r="CI27" t="e">
        <f>AND('Data Extract File Ty'!A499,"AAAAAHO+31Y=")</f>
        <v>#VALUE!</v>
      </c>
      <c r="CJ27" t="e">
        <f>AND('Data Extract File Ty'!B499,"AAAAAHO+31c=")</f>
        <v>#VALUE!</v>
      </c>
      <c r="CK27" t="e">
        <f>AND('Data Extract File Ty'!C499,"AAAAAHO+31g=")</f>
        <v>#VALUE!</v>
      </c>
      <c r="CL27" t="e">
        <f>AND('Data Extract File Ty'!D499,"AAAAAHO+31k=")</f>
        <v>#VALUE!</v>
      </c>
      <c r="CM27">
        <f>IF('Data Extract File Ty'!500:500,"AAAAAHO+31o=",0)</f>
        <v>0</v>
      </c>
      <c r="CN27" t="e">
        <f>AND('Data Extract File Ty'!A500,"AAAAAHO+31s=")</f>
        <v>#VALUE!</v>
      </c>
      <c r="CO27" t="e">
        <f>AND('Data Extract File Ty'!B500,"AAAAAHO+31w=")</f>
        <v>#VALUE!</v>
      </c>
      <c r="CP27" t="e">
        <f>AND('Data Extract File Ty'!C500,"AAAAAHO+310=")</f>
        <v>#VALUE!</v>
      </c>
      <c r="CQ27" t="e">
        <f>AND('Data Extract File Ty'!D500,"AAAAAHO+314=")</f>
        <v>#VALUE!</v>
      </c>
      <c r="CR27">
        <f>IF('Data Extract File Ty'!501:501,"AAAAAHO+318=",0)</f>
        <v>0</v>
      </c>
      <c r="CS27" t="e">
        <f>AND('Data Extract File Ty'!A501,"AAAAAHO+32A=")</f>
        <v>#VALUE!</v>
      </c>
      <c r="CT27" t="e">
        <f>AND('Data Extract File Ty'!B501,"AAAAAHO+32E=")</f>
        <v>#VALUE!</v>
      </c>
      <c r="CU27" t="e">
        <f>AND('Data Extract File Ty'!C501,"AAAAAHO+32I=")</f>
        <v>#VALUE!</v>
      </c>
      <c r="CV27" t="e">
        <f>AND('Data Extract File Ty'!D501,"AAAAAHO+32M=")</f>
        <v>#VALUE!</v>
      </c>
      <c r="CW27">
        <f>IF('Data Extract File Ty'!502:502,"AAAAAHO+32Q=",0)</f>
        <v>0</v>
      </c>
      <c r="CX27" t="e">
        <f>AND('Data Extract File Ty'!A502,"AAAAAHO+32U=")</f>
        <v>#VALUE!</v>
      </c>
      <c r="CY27" t="e">
        <f>AND('Data Extract File Ty'!B502,"AAAAAHO+32Y=")</f>
        <v>#VALUE!</v>
      </c>
      <c r="CZ27" t="e">
        <f>AND('Data Extract File Ty'!C502,"AAAAAHO+32c=")</f>
        <v>#VALUE!</v>
      </c>
      <c r="DA27" t="e">
        <f>AND('Data Extract File Ty'!D502,"AAAAAHO+32g=")</f>
        <v>#VALUE!</v>
      </c>
      <c r="DB27">
        <f>IF('Data Extract File Ty'!503:503,"AAAAAHO+32k=",0)</f>
        <v>0</v>
      </c>
      <c r="DC27" t="e">
        <f>AND('Data Extract File Ty'!A503,"AAAAAHO+32o=")</f>
        <v>#VALUE!</v>
      </c>
      <c r="DD27" t="e">
        <f>AND('Data Extract File Ty'!B503,"AAAAAHO+32s=")</f>
        <v>#VALUE!</v>
      </c>
      <c r="DE27" t="e">
        <f>AND('Data Extract File Ty'!C503,"AAAAAHO+32w=")</f>
        <v>#VALUE!</v>
      </c>
      <c r="DF27" t="e">
        <f>AND('Data Extract File Ty'!D503,"AAAAAHO+320=")</f>
        <v>#VALUE!</v>
      </c>
      <c r="DG27">
        <f>IF('Data Extract File Ty'!504:504,"AAAAAHO+324=",0)</f>
        <v>0</v>
      </c>
      <c r="DH27" t="e">
        <f>AND('Data Extract File Ty'!A504,"AAAAAHO+328=")</f>
        <v>#VALUE!</v>
      </c>
      <c r="DI27" t="e">
        <f>AND('Data Extract File Ty'!B504,"AAAAAHO+33A=")</f>
        <v>#VALUE!</v>
      </c>
      <c r="DJ27" t="e">
        <f>AND('Data Extract File Ty'!C504,"AAAAAHO+33E=")</f>
        <v>#VALUE!</v>
      </c>
      <c r="DK27" t="e">
        <f>AND('Data Extract File Ty'!D504,"AAAAAHO+33I=")</f>
        <v>#VALUE!</v>
      </c>
      <c r="DL27">
        <f>IF('Data Extract File Ty'!505:505,"AAAAAHO+33M=",0)</f>
        <v>0</v>
      </c>
      <c r="DM27" t="e">
        <f>AND('Data Extract File Ty'!A505,"AAAAAHO+33Q=")</f>
        <v>#VALUE!</v>
      </c>
      <c r="DN27" t="e">
        <f>AND('Data Extract File Ty'!B505,"AAAAAHO+33U=")</f>
        <v>#VALUE!</v>
      </c>
      <c r="DO27" t="e">
        <f>AND('Data Extract File Ty'!C505,"AAAAAHO+33Y=")</f>
        <v>#VALUE!</v>
      </c>
      <c r="DP27" t="e">
        <f>AND('Data Extract File Ty'!D505,"AAAAAHO+33c=")</f>
        <v>#VALUE!</v>
      </c>
      <c r="DQ27">
        <f>IF('Data Extract File Ty'!506:506,"AAAAAHO+33g=",0)</f>
        <v>0</v>
      </c>
      <c r="DR27" t="e">
        <f>AND('Data Extract File Ty'!A506,"AAAAAHO+33k=")</f>
        <v>#VALUE!</v>
      </c>
      <c r="DS27" t="e">
        <f>AND('Data Extract File Ty'!B506,"AAAAAHO+33o=")</f>
        <v>#VALUE!</v>
      </c>
      <c r="DT27" t="e">
        <f>AND('Data Extract File Ty'!C506,"AAAAAHO+33s=")</f>
        <v>#VALUE!</v>
      </c>
      <c r="DU27" t="e">
        <f>AND('Data Extract File Ty'!D506,"AAAAAHO+33w=")</f>
        <v>#VALUE!</v>
      </c>
      <c r="DV27">
        <f>IF('Data Extract File Ty'!507:507,"AAAAAHO+330=",0)</f>
        <v>0</v>
      </c>
      <c r="DW27" t="e">
        <f>AND('Data Extract File Ty'!A507,"AAAAAHO+334=")</f>
        <v>#VALUE!</v>
      </c>
      <c r="DX27" t="e">
        <f>AND('Data Extract File Ty'!B507,"AAAAAHO+338=")</f>
        <v>#VALUE!</v>
      </c>
      <c r="DY27" t="e">
        <f>AND('Data Extract File Ty'!C507,"AAAAAHO+34A=")</f>
        <v>#VALUE!</v>
      </c>
      <c r="DZ27" t="e">
        <f>AND('Data Extract File Ty'!D507,"AAAAAHO+34E=")</f>
        <v>#VALUE!</v>
      </c>
      <c r="EA27">
        <f>IF('Data Extract File Ty'!508:508,"AAAAAHO+34I=",0)</f>
        <v>0</v>
      </c>
      <c r="EB27" t="e">
        <f>AND('Data Extract File Ty'!A508,"AAAAAHO+34M=")</f>
        <v>#VALUE!</v>
      </c>
      <c r="EC27" t="e">
        <f>AND('Data Extract File Ty'!B508,"AAAAAHO+34Q=")</f>
        <v>#VALUE!</v>
      </c>
      <c r="ED27" t="e">
        <f>AND('Data Extract File Ty'!C508,"AAAAAHO+34U=")</f>
        <v>#VALUE!</v>
      </c>
      <c r="EE27" t="e">
        <f>AND('Data Extract File Ty'!D508,"AAAAAHO+34Y=")</f>
        <v>#VALUE!</v>
      </c>
      <c r="EF27">
        <f>IF('Data Extract File Ty'!509:509,"AAAAAHO+34c=",0)</f>
        <v>0</v>
      </c>
      <c r="EG27" t="e">
        <f>AND('Data Extract File Ty'!A509,"AAAAAHO+34g=")</f>
        <v>#VALUE!</v>
      </c>
      <c r="EH27" t="e">
        <f>AND('Data Extract File Ty'!B509,"AAAAAHO+34k=")</f>
        <v>#VALUE!</v>
      </c>
      <c r="EI27" t="e">
        <f>AND('Data Extract File Ty'!C509,"AAAAAHO+34o=")</f>
        <v>#VALUE!</v>
      </c>
      <c r="EJ27" t="e">
        <f>AND('Data Extract File Ty'!D509,"AAAAAHO+34s=")</f>
        <v>#VALUE!</v>
      </c>
      <c r="EK27">
        <f>IF('Data Extract File Ty'!510:510,"AAAAAHO+34w=",0)</f>
        <v>0</v>
      </c>
      <c r="EL27" t="e">
        <f>AND('Data Extract File Ty'!A510,"AAAAAHO+340=")</f>
        <v>#VALUE!</v>
      </c>
      <c r="EM27" t="e">
        <f>AND('Data Extract File Ty'!B510,"AAAAAHO+344=")</f>
        <v>#VALUE!</v>
      </c>
      <c r="EN27" t="e">
        <f>AND('Data Extract File Ty'!C510,"AAAAAHO+348=")</f>
        <v>#VALUE!</v>
      </c>
      <c r="EO27" t="e">
        <f>AND('Data Extract File Ty'!D510,"AAAAAHO+35A=")</f>
        <v>#VALUE!</v>
      </c>
      <c r="EP27">
        <f>IF('Data Extract File Ty'!511:511,"AAAAAHO+35E=",0)</f>
        <v>0</v>
      </c>
      <c r="EQ27" t="e">
        <f>AND('Data Extract File Ty'!A511,"AAAAAHO+35I=")</f>
        <v>#VALUE!</v>
      </c>
      <c r="ER27" t="e">
        <f>AND('Data Extract File Ty'!B511,"AAAAAHO+35M=")</f>
        <v>#VALUE!</v>
      </c>
      <c r="ES27" t="e">
        <f>AND('Data Extract File Ty'!C511,"AAAAAHO+35Q=")</f>
        <v>#VALUE!</v>
      </c>
      <c r="ET27" t="e">
        <f>AND('Data Extract File Ty'!D511,"AAAAAHO+35U=")</f>
        <v>#VALUE!</v>
      </c>
      <c r="EU27">
        <f>IF('Data Extract File Ty'!512:512,"AAAAAHO+35Y=",0)</f>
        <v>0</v>
      </c>
      <c r="EV27" t="e">
        <f>AND('Data Extract File Ty'!A512,"AAAAAHO+35c=")</f>
        <v>#VALUE!</v>
      </c>
      <c r="EW27" t="e">
        <f>AND('Data Extract File Ty'!B512,"AAAAAHO+35g=")</f>
        <v>#VALUE!</v>
      </c>
      <c r="EX27" t="e">
        <f>AND('Data Extract File Ty'!C512,"AAAAAHO+35k=")</f>
        <v>#VALUE!</v>
      </c>
      <c r="EY27" t="e">
        <f>AND('Data Extract File Ty'!D512,"AAAAAHO+35o=")</f>
        <v>#VALUE!</v>
      </c>
      <c r="EZ27">
        <f>IF('Data Extract File Ty'!513:513,"AAAAAHO+35s=",0)</f>
        <v>0</v>
      </c>
      <c r="FA27" t="e">
        <f>AND('Data Extract File Ty'!A513,"AAAAAHO+35w=")</f>
        <v>#VALUE!</v>
      </c>
      <c r="FB27" t="e">
        <f>AND('Data Extract File Ty'!B513,"AAAAAHO+350=")</f>
        <v>#VALUE!</v>
      </c>
      <c r="FC27" t="e">
        <f>AND('Data Extract File Ty'!C513,"AAAAAHO+354=")</f>
        <v>#VALUE!</v>
      </c>
      <c r="FD27" t="e">
        <f>AND('Data Extract File Ty'!D513,"AAAAAHO+358=")</f>
        <v>#VALUE!</v>
      </c>
      <c r="FE27">
        <f>IF('Data Extract File Ty'!514:514,"AAAAAHO+36A=",0)</f>
        <v>0</v>
      </c>
      <c r="FF27" t="e">
        <f>AND('Data Extract File Ty'!A514,"AAAAAHO+36E=")</f>
        <v>#VALUE!</v>
      </c>
      <c r="FG27" t="e">
        <f>AND('Data Extract File Ty'!B514,"AAAAAHO+36I=")</f>
        <v>#VALUE!</v>
      </c>
      <c r="FH27" t="e">
        <f>AND('Data Extract File Ty'!C514,"AAAAAHO+36M=")</f>
        <v>#VALUE!</v>
      </c>
      <c r="FI27" t="e">
        <f>AND('Data Extract File Ty'!D514,"AAAAAHO+36Q=")</f>
        <v>#VALUE!</v>
      </c>
      <c r="FJ27">
        <f>IF('Data Extract File Ty'!515:515,"AAAAAHO+36U=",0)</f>
        <v>0</v>
      </c>
      <c r="FK27" t="e">
        <f>AND('Data Extract File Ty'!A515,"AAAAAHO+36Y=")</f>
        <v>#VALUE!</v>
      </c>
      <c r="FL27" t="e">
        <f>AND('Data Extract File Ty'!B515,"AAAAAHO+36c=")</f>
        <v>#VALUE!</v>
      </c>
      <c r="FM27" t="e">
        <f>AND('Data Extract File Ty'!C515,"AAAAAHO+36g=")</f>
        <v>#VALUE!</v>
      </c>
      <c r="FN27" t="e">
        <f>AND('Data Extract File Ty'!D515,"AAAAAHO+36k=")</f>
        <v>#VALUE!</v>
      </c>
      <c r="FO27">
        <f>IF('Data Extract File Ty'!516:516,"AAAAAHO+36o=",0)</f>
        <v>0</v>
      </c>
      <c r="FP27" t="e">
        <f>AND('Data Extract File Ty'!A516,"AAAAAHO+36s=")</f>
        <v>#VALUE!</v>
      </c>
      <c r="FQ27" t="e">
        <f>AND('Data Extract File Ty'!B516,"AAAAAHO+36w=")</f>
        <v>#VALUE!</v>
      </c>
      <c r="FR27" t="e">
        <f>AND('Data Extract File Ty'!C516,"AAAAAHO+360=")</f>
        <v>#VALUE!</v>
      </c>
      <c r="FS27" t="e">
        <f>AND('Data Extract File Ty'!D516,"AAAAAHO+364=")</f>
        <v>#VALUE!</v>
      </c>
      <c r="FT27">
        <f>IF('Data Extract File Ty'!517:517,"AAAAAHO+368=",0)</f>
        <v>0</v>
      </c>
      <c r="FU27" t="e">
        <f>AND('Data Extract File Ty'!A517,"AAAAAHO+37A=")</f>
        <v>#VALUE!</v>
      </c>
      <c r="FV27" t="e">
        <f>AND('Data Extract File Ty'!B517,"AAAAAHO+37E=")</f>
        <v>#VALUE!</v>
      </c>
      <c r="FW27" t="e">
        <f>AND('Data Extract File Ty'!C517,"AAAAAHO+37I=")</f>
        <v>#VALUE!</v>
      </c>
      <c r="FX27" t="e">
        <f>AND('Data Extract File Ty'!D517,"AAAAAHO+37M=")</f>
        <v>#VALUE!</v>
      </c>
      <c r="FY27">
        <f>IF('Data Extract File Ty'!518:518,"AAAAAHO+37Q=",0)</f>
        <v>0</v>
      </c>
      <c r="FZ27" t="e">
        <f>AND('Data Extract File Ty'!A518,"AAAAAHO+37U=")</f>
        <v>#VALUE!</v>
      </c>
      <c r="GA27" t="e">
        <f>AND('Data Extract File Ty'!B518,"AAAAAHO+37Y=")</f>
        <v>#VALUE!</v>
      </c>
      <c r="GB27" t="e">
        <f>AND('Data Extract File Ty'!C518,"AAAAAHO+37c=")</f>
        <v>#VALUE!</v>
      </c>
      <c r="GC27" t="e">
        <f>AND('Data Extract File Ty'!D518,"AAAAAHO+37g=")</f>
        <v>#VALUE!</v>
      </c>
      <c r="GD27">
        <f>IF('Data Extract File Ty'!519:519,"AAAAAHO+37k=",0)</f>
        <v>0</v>
      </c>
      <c r="GE27" t="e">
        <f>AND('Data Extract File Ty'!A519,"AAAAAHO+37o=")</f>
        <v>#VALUE!</v>
      </c>
      <c r="GF27" t="e">
        <f>AND('Data Extract File Ty'!B519,"AAAAAHO+37s=")</f>
        <v>#VALUE!</v>
      </c>
      <c r="GG27" t="e">
        <f>AND('Data Extract File Ty'!C519,"AAAAAHO+37w=")</f>
        <v>#VALUE!</v>
      </c>
      <c r="GH27" t="e">
        <f>AND('Data Extract File Ty'!D519,"AAAAAHO+370=")</f>
        <v>#VALUE!</v>
      </c>
      <c r="GI27">
        <f>IF('Data Extract File Ty'!520:520,"AAAAAHO+374=",0)</f>
        <v>0</v>
      </c>
      <c r="GJ27" t="e">
        <f>AND('Data Extract File Ty'!A520,"AAAAAHO+378=")</f>
        <v>#VALUE!</v>
      </c>
      <c r="GK27" t="e">
        <f>AND('Data Extract File Ty'!B520,"AAAAAHO+38A=")</f>
        <v>#VALUE!</v>
      </c>
      <c r="GL27" t="e">
        <f>AND('Data Extract File Ty'!C520,"AAAAAHO+38E=")</f>
        <v>#VALUE!</v>
      </c>
      <c r="GM27" t="e">
        <f>AND('Data Extract File Ty'!D520,"AAAAAHO+38I=")</f>
        <v>#VALUE!</v>
      </c>
      <c r="GN27">
        <f>IF('Data Extract File Ty'!521:521,"AAAAAHO+38M=",0)</f>
        <v>0</v>
      </c>
      <c r="GO27" t="e">
        <f>AND('Data Extract File Ty'!A521,"AAAAAHO+38Q=")</f>
        <v>#VALUE!</v>
      </c>
      <c r="GP27" t="e">
        <f>AND('Data Extract File Ty'!B521,"AAAAAHO+38U=")</f>
        <v>#VALUE!</v>
      </c>
      <c r="GQ27" t="e">
        <f>AND('Data Extract File Ty'!C521,"AAAAAHO+38Y=")</f>
        <v>#VALUE!</v>
      </c>
      <c r="GR27" t="e">
        <f>AND('Data Extract File Ty'!D521,"AAAAAHO+38c=")</f>
        <v>#VALUE!</v>
      </c>
      <c r="GS27">
        <f>IF('Data Extract File Ty'!522:522,"AAAAAHO+38g=",0)</f>
        <v>0</v>
      </c>
      <c r="GT27" t="e">
        <f>AND('Data Extract File Ty'!A522,"AAAAAHO+38k=")</f>
        <v>#VALUE!</v>
      </c>
      <c r="GU27" t="e">
        <f>AND('Data Extract File Ty'!B522,"AAAAAHO+38o=")</f>
        <v>#VALUE!</v>
      </c>
      <c r="GV27" t="e">
        <f>AND('Data Extract File Ty'!C522,"AAAAAHO+38s=")</f>
        <v>#VALUE!</v>
      </c>
      <c r="GW27" t="e">
        <f>AND('Data Extract File Ty'!D522,"AAAAAHO+38w=")</f>
        <v>#VALUE!</v>
      </c>
      <c r="GX27">
        <f>IF('Data Extract File Ty'!523:523,"AAAAAHO+380=",0)</f>
        <v>0</v>
      </c>
      <c r="GY27" t="e">
        <f>AND('Data Extract File Ty'!A523,"AAAAAHO+384=")</f>
        <v>#VALUE!</v>
      </c>
      <c r="GZ27" t="e">
        <f>AND('Data Extract File Ty'!B523,"AAAAAHO+388=")</f>
        <v>#VALUE!</v>
      </c>
      <c r="HA27" t="e">
        <f>AND('Data Extract File Ty'!C523,"AAAAAHO+39A=")</f>
        <v>#VALUE!</v>
      </c>
      <c r="HB27" t="e">
        <f>AND('Data Extract File Ty'!D523,"AAAAAHO+39E=")</f>
        <v>#VALUE!</v>
      </c>
      <c r="HC27">
        <f>IF('Data Extract File Ty'!524:524,"AAAAAHO+39I=",0)</f>
        <v>0</v>
      </c>
      <c r="HD27" t="e">
        <f>AND('Data Extract File Ty'!A524,"AAAAAHO+39M=")</f>
        <v>#VALUE!</v>
      </c>
      <c r="HE27" t="e">
        <f>AND('Data Extract File Ty'!B524,"AAAAAHO+39Q=")</f>
        <v>#VALUE!</v>
      </c>
      <c r="HF27" t="e">
        <f>AND('Data Extract File Ty'!C524,"AAAAAHO+39U=")</f>
        <v>#VALUE!</v>
      </c>
      <c r="HG27" t="e">
        <f>AND('Data Extract File Ty'!D524,"AAAAAHO+39Y=")</f>
        <v>#VALUE!</v>
      </c>
      <c r="HH27">
        <f>IF('Data Extract File Ty'!525:525,"AAAAAHO+39c=",0)</f>
        <v>0</v>
      </c>
      <c r="HI27" t="e">
        <f>AND('Data Extract File Ty'!A525,"AAAAAHO+39g=")</f>
        <v>#VALUE!</v>
      </c>
      <c r="HJ27" t="e">
        <f>AND('Data Extract File Ty'!B525,"AAAAAHO+39k=")</f>
        <v>#VALUE!</v>
      </c>
      <c r="HK27" t="e">
        <f>AND('Data Extract File Ty'!C525,"AAAAAHO+39o=")</f>
        <v>#VALUE!</v>
      </c>
      <c r="HL27" t="e">
        <f>AND('Data Extract File Ty'!D525,"AAAAAHO+39s=")</f>
        <v>#VALUE!</v>
      </c>
      <c r="HM27">
        <f>IF('Data Extract File Ty'!526:526,"AAAAAHO+39w=",0)</f>
        <v>0</v>
      </c>
      <c r="HN27" t="e">
        <f>AND('Data Extract File Ty'!A526,"AAAAAHO+390=")</f>
        <v>#VALUE!</v>
      </c>
      <c r="HO27" t="e">
        <f>AND('Data Extract File Ty'!B526,"AAAAAHO+394=")</f>
        <v>#VALUE!</v>
      </c>
      <c r="HP27" t="e">
        <f>AND('Data Extract File Ty'!C526,"AAAAAHO+398=")</f>
        <v>#VALUE!</v>
      </c>
      <c r="HQ27" t="e">
        <f>AND('Data Extract File Ty'!D526,"AAAAAHO+3+A=")</f>
        <v>#VALUE!</v>
      </c>
      <c r="HR27">
        <f>IF('Data Extract File Ty'!527:527,"AAAAAHO+3+E=",0)</f>
        <v>0</v>
      </c>
      <c r="HS27" t="e">
        <f>AND('Data Extract File Ty'!A527,"AAAAAHO+3+I=")</f>
        <v>#VALUE!</v>
      </c>
      <c r="HT27" t="e">
        <f>AND('Data Extract File Ty'!B527,"AAAAAHO+3+M=")</f>
        <v>#VALUE!</v>
      </c>
      <c r="HU27" t="e">
        <f>AND('Data Extract File Ty'!C527,"AAAAAHO+3+Q=")</f>
        <v>#VALUE!</v>
      </c>
      <c r="HV27" t="e">
        <f>AND('Data Extract File Ty'!D527,"AAAAAHO+3+U=")</f>
        <v>#VALUE!</v>
      </c>
      <c r="HW27">
        <f>IF('Data Extract File Ty'!528:528,"AAAAAHO+3+Y=",0)</f>
        <v>0</v>
      </c>
      <c r="HX27" t="e">
        <f>AND('Data Extract File Ty'!A528,"AAAAAHO+3+c=")</f>
        <v>#VALUE!</v>
      </c>
      <c r="HY27" t="e">
        <f>AND('Data Extract File Ty'!B528,"AAAAAHO+3+g=")</f>
        <v>#VALUE!</v>
      </c>
      <c r="HZ27" t="e">
        <f>AND('Data Extract File Ty'!C528,"AAAAAHO+3+k=")</f>
        <v>#VALUE!</v>
      </c>
      <c r="IA27" t="e">
        <f>AND('Data Extract File Ty'!D528,"AAAAAHO+3+o=")</f>
        <v>#VALUE!</v>
      </c>
      <c r="IB27">
        <f>IF('Data Extract File Ty'!529:529,"AAAAAHO+3+s=",0)</f>
        <v>0</v>
      </c>
      <c r="IC27" t="e">
        <f>AND('Data Extract File Ty'!A529,"AAAAAHO+3+w=")</f>
        <v>#VALUE!</v>
      </c>
      <c r="ID27" t="e">
        <f>AND('Data Extract File Ty'!B529,"AAAAAHO+3+0=")</f>
        <v>#VALUE!</v>
      </c>
      <c r="IE27" t="e">
        <f>AND('Data Extract File Ty'!C529,"AAAAAHO+3+4=")</f>
        <v>#VALUE!</v>
      </c>
      <c r="IF27" t="e">
        <f>AND('Data Extract File Ty'!D529,"AAAAAHO+3+8=")</f>
        <v>#VALUE!</v>
      </c>
      <c r="IG27">
        <f>IF('Data Extract File Ty'!530:530,"AAAAAHO+3/A=",0)</f>
        <v>0</v>
      </c>
      <c r="IH27" t="e">
        <f>AND('Data Extract File Ty'!A530,"AAAAAHO+3/E=")</f>
        <v>#VALUE!</v>
      </c>
      <c r="II27" t="e">
        <f>AND('Data Extract File Ty'!B530,"AAAAAHO+3/I=")</f>
        <v>#VALUE!</v>
      </c>
      <c r="IJ27" t="e">
        <f>AND('Data Extract File Ty'!C530,"AAAAAHO+3/M=")</f>
        <v>#VALUE!</v>
      </c>
      <c r="IK27" t="e">
        <f>AND('Data Extract File Ty'!D530,"AAAAAHO+3/Q=")</f>
        <v>#VALUE!</v>
      </c>
      <c r="IL27">
        <f>IF('Data Extract File Ty'!531:531,"AAAAAHO+3/U=",0)</f>
        <v>0</v>
      </c>
      <c r="IM27" t="e">
        <f>AND('Data Extract File Ty'!A531,"AAAAAHO+3/Y=")</f>
        <v>#VALUE!</v>
      </c>
      <c r="IN27" t="e">
        <f>AND('Data Extract File Ty'!B531,"AAAAAHO+3/c=")</f>
        <v>#VALUE!</v>
      </c>
      <c r="IO27" t="e">
        <f>AND('Data Extract File Ty'!C531,"AAAAAHO+3/g=")</f>
        <v>#VALUE!</v>
      </c>
      <c r="IP27" t="e">
        <f>AND('Data Extract File Ty'!D531,"AAAAAHO+3/k=")</f>
        <v>#VALUE!</v>
      </c>
      <c r="IQ27">
        <f>IF('Data Extract File Ty'!532:532,"AAAAAHO+3/o=",0)</f>
        <v>0</v>
      </c>
      <c r="IR27" t="e">
        <f>AND('Data Extract File Ty'!A532,"AAAAAHO+3/s=")</f>
        <v>#VALUE!</v>
      </c>
      <c r="IS27" t="e">
        <f>AND('Data Extract File Ty'!B532,"AAAAAHO+3/w=")</f>
        <v>#VALUE!</v>
      </c>
      <c r="IT27" t="e">
        <f>AND('Data Extract File Ty'!C532,"AAAAAHO+3/0=")</f>
        <v>#VALUE!</v>
      </c>
      <c r="IU27" t="e">
        <f>AND('Data Extract File Ty'!D532,"AAAAAHO+3/4=")</f>
        <v>#VALUE!</v>
      </c>
      <c r="IV27">
        <f>IF('Data Extract File Ty'!533:533,"AAAAAHO+3/8=",0)</f>
        <v>0</v>
      </c>
    </row>
    <row r="28" spans="1:256" x14ac:dyDescent="0.2">
      <c r="A28" t="e">
        <f>AND('Data Extract File Ty'!A533,"AAAAADeztwA=")</f>
        <v>#VALUE!</v>
      </c>
      <c r="B28" t="e">
        <f>AND('Data Extract File Ty'!B533,"AAAAADeztwE=")</f>
        <v>#VALUE!</v>
      </c>
      <c r="C28" t="e">
        <f>AND('Data Extract File Ty'!C533,"AAAAADeztwI=")</f>
        <v>#VALUE!</v>
      </c>
      <c r="D28" t="e">
        <f>AND('Data Extract File Ty'!D533,"AAAAADeztwM=")</f>
        <v>#VALUE!</v>
      </c>
      <c r="E28">
        <f>IF('Data Extract File Ty'!534:534,"AAAAADeztwQ=",0)</f>
        <v>0</v>
      </c>
      <c r="F28" t="e">
        <f>AND('Data Extract File Ty'!A534,"AAAAADeztwU=")</f>
        <v>#VALUE!</v>
      </c>
      <c r="G28" t="e">
        <f>AND('Data Extract File Ty'!B534,"AAAAADeztwY=")</f>
        <v>#VALUE!</v>
      </c>
      <c r="H28" t="e">
        <f>AND('Data Extract File Ty'!C534,"AAAAADeztwc=")</f>
        <v>#VALUE!</v>
      </c>
      <c r="I28" t="e">
        <f>AND('Data Extract File Ty'!D534,"AAAAADeztwg=")</f>
        <v>#VALUE!</v>
      </c>
      <c r="J28">
        <f>IF('Data Extract File Ty'!535:535,"AAAAADeztwk=",0)</f>
        <v>0</v>
      </c>
      <c r="K28" t="e">
        <f>AND('Data Extract File Ty'!A535,"AAAAADeztwo=")</f>
        <v>#VALUE!</v>
      </c>
      <c r="L28" t="e">
        <f>AND('Data Extract File Ty'!B535,"AAAAADeztws=")</f>
        <v>#VALUE!</v>
      </c>
      <c r="M28" t="e">
        <f>AND('Data Extract File Ty'!C535,"AAAAADeztww=")</f>
        <v>#VALUE!</v>
      </c>
      <c r="N28" t="e">
        <f>AND('Data Extract File Ty'!D535,"AAAAADeztw0=")</f>
        <v>#VALUE!</v>
      </c>
      <c r="O28">
        <f>IF('Data Extract File Ty'!536:536,"AAAAADeztw4=",0)</f>
        <v>0</v>
      </c>
      <c r="P28" t="e">
        <f>AND('Data Extract File Ty'!A536,"AAAAADeztw8=")</f>
        <v>#VALUE!</v>
      </c>
      <c r="Q28" t="e">
        <f>AND('Data Extract File Ty'!B536,"AAAAADeztxA=")</f>
        <v>#VALUE!</v>
      </c>
      <c r="R28" t="e">
        <f>AND('Data Extract File Ty'!C536,"AAAAADeztxE=")</f>
        <v>#VALUE!</v>
      </c>
      <c r="S28" t="e">
        <f>AND('Data Extract File Ty'!D536,"AAAAADeztxI=")</f>
        <v>#VALUE!</v>
      </c>
      <c r="T28">
        <f>IF('Data Extract File Ty'!537:537,"AAAAADeztxM=",0)</f>
        <v>0</v>
      </c>
      <c r="U28" t="e">
        <f>AND('Data Extract File Ty'!A537,"AAAAADeztxQ=")</f>
        <v>#VALUE!</v>
      </c>
      <c r="V28" t="e">
        <f>AND('Data Extract File Ty'!B537,"AAAAADeztxU=")</f>
        <v>#VALUE!</v>
      </c>
      <c r="W28" t="e">
        <f>AND('Data Extract File Ty'!C537,"AAAAADeztxY=")</f>
        <v>#VALUE!</v>
      </c>
      <c r="X28" t="e">
        <f>AND('Data Extract File Ty'!D537,"AAAAADeztxc=")</f>
        <v>#VALUE!</v>
      </c>
      <c r="Y28">
        <f>IF('Data Extract File Ty'!538:538,"AAAAADeztxg=",0)</f>
        <v>0</v>
      </c>
      <c r="Z28" t="e">
        <f>AND('Data Extract File Ty'!A538,"AAAAADeztxk=")</f>
        <v>#VALUE!</v>
      </c>
      <c r="AA28" t="e">
        <f>AND('Data Extract File Ty'!B538,"AAAAADeztxo=")</f>
        <v>#VALUE!</v>
      </c>
      <c r="AB28" t="e">
        <f>AND('Data Extract File Ty'!C538,"AAAAADeztxs=")</f>
        <v>#VALUE!</v>
      </c>
      <c r="AC28" t="e">
        <f>AND('Data Extract File Ty'!D538,"AAAAADeztxw=")</f>
        <v>#VALUE!</v>
      </c>
      <c r="AD28">
        <f>IF('Data Extract File Ty'!539:539,"AAAAADeztx0=",0)</f>
        <v>0</v>
      </c>
      <c r="AE28" t="e">
        <f>AND('Data Extract File Ty'!A539,"AAAAADeztx4=")</f>
        <v>#VALUE!</v>
      </c>
      <c r="AF28" t="e">
        <f>AND('Data Extract File Ty'!B539,"AAAAADeztx8=")</f>
        <v>#VALUE!</v>
      </c>
      <c r="AG28" t="e">
        <f>AND('Data Extract File Ty'!C539,"AAAAADeztyA=")</f>
        <v>#VALUE!</v>
      </c>
      <c r="AH28" t="e">
        <f>AND('Data Extract File Ty'!D539,"AAAAADeztyE=")</f>
        <v>#VALUE!</v>
      </c>
      <c r="AI28">
        <f>IF('Data Extract File Ty'!540:540,"AAAAADeztyI=",0)</f>
        <v>0</v>
      </c>
      <c r="AJ28" t="e">
        <f>AND('Data Extract File Ty'!A540,"AAAAADeztyM=")</f>
        <v>#VALUE!</v>
      </c>
      <c r="AK28" t="e">
        <f>AND('Data Extract File Ty'!B540,"AAAAADeztyQ=")</f>
        <v>#VALUE!</v>
      </c>
      <c r="AL28" t="e">
        <f>AND('Data Extract File Ty'!C540,"AAAAADeztyU=")</f>
        <v>#VALUE!</v>
      </c>
      <c r="AM28" t="e">
        <f>AND('Data Extract File Ty'!D540,"AAAAADeztyY=")</f>
        <v>#VALUE!</v>
      </c>
      <c r="AN28">
        <f>IF('Data Extract File Ty'!541:541,"AAAAADeztyc=",0)</f>
        <v>0</v>
      </c>
      <c r="AO28" t="e">
        <f>AND('Data Extract File Ty'!A541,"AAAAADeztyg=")</f>
        <v>#VALUE!</v>
      </c>
      <c r="AP28" t="e">
        <f>AND('Data Extract File Ty'!B541,"AAAAADeztyk=")</f>
        <v>#VALUE!</v>
      </c>
      <c r="AQ28" t="e">
        <f>AND('Data Extract File Ty'!C541,"AAAAADeztyo=")</f>
        <v>#VALUE!</v>
      </c>
      <c r="AR28" t="e">
        <f>AND('Data Extract File Ty'!D541,"AAAAADeztys=")</f>
        <v>#VALUE!</v>
      </c>
      <c r="AS28">
        <f>IF('Data Extract File Ty'!542:542,"AAAAADeztyw=",0)</f>
        <v>0</v>
      </c>
      <c r="AT28" t="e">
        <f>AND('Data Extract File Ty'!A542,"AAAAADezty0=")</f>
        <v>#VALUE!</v>
      </c>
      <c r="AU28" t="e">
        <f>AND('Data Extract File Ty'!B542,"AAAAADezty4=")</f>
        <v>#VALUE!</v>
      </c>
      <c r="AV28" t="e">
        <f>AND('Data Extract File Ty'!C542,"AAAAADezty8=")</f>
        <v>#VALUE!</v>
      </c>
      <c r="AW28" t="e">
        <f>AND('Data Extract File Ty'!D542,"AAAAADeztzA=")</f>
        <v>#VALUE!</v>
      </c>
      <c r="AX28">
        <f>IF('Data Extract File Ty'!543:543,"AAAAADeztzE=",0)</f>
        <v>0</v>
      </c>
      <c r="AY28" t="e">
        <f>AND('Data Extract File Ty'!A543,"AAAAADeztzI=")</f>
        <v>#VALUE!</v>
      </c>
      <c r="AZ28" t="e">
        <f>AND('Data Extract File Ty'!B543,"AAAAADeztzM=")</f>
        <v>#VALUE!</v>
      </c>
      <c r="BA28" t="e">
        <f>AND('Data Extract File Ty'!C543,"AAAAADeztzQ=")</f>
        <v>#VALUE!</v>
      </c>
      <c r="BB28" t="e">
        <f>AND('Data Extract File Ty'!D543,"AAAAADeztzU=")</f>
        <v>#VALUE!</v>
      </c>
      <c r="BC28">
        <f>IF('Data Extract File Ty'!544:544,"AAAAADeztzY=",0)</f>
        <v>0</v>
      </c>
      <c r="BD28" t="e">
        <f>AND('Data Extract File Ty'!A544,"AAAAADeztzc=")</f>
        <v>#VALUE!</v>
      </c>
      <c r="BE28" t="e">
        <f>AND('Data Extract File Ty'!B544,"AAAAADeztzg=")</f>
        <v>#VALUE!</v>
      </c>
      <c r="BF28" t="e">
        <f>AND('Data Extract File Ty'!C544,"AAAAADeztzk=")</f>
        <v>#VALUE!</v>
      </c>
      <c r="BG28" t="e">
        <f>AND('Data Extract File Ty'!D544,"AAAAADeztzo=")</f>
        <v>#VALUE!</v>
      </c>
      <c r="BH28">
        <f>IF('Data Extract File Ty'!545:545,"AAAAADeztzs=",0)</f>
        <v>0</v>
      </c>
      <c r="BI28" t="e">
        <f>AND('Data Extract File Ty'!A545,"AAAAADeztzw=")</f>
        <v>#VALUE!</v>
      </c>
      <c r="BJ28" t="e">
        <f>AND('Data Extract File Ty'!B545,"AAAAADeztz0=")</f>
        <v>#VALUE!</v>
      </c>
      <c r="BK28" t="e">
        <f>AND('Data Extract File Ty'!C545,"AAAAADeztz4=")</f>
        <v>#VALUE!</v>
      </c>
      <c r="BL28" t="e">
        <f>AND('Data Extract File Ty'!D545,"AAAAADeztz8=")</f>
        <v>#VALUE!</v>
      </c>
      <c r="BM28">
        <f>IF('Data Extract File Ty'!546:546,"AAAAADezt0A=",0)</f>
        <v>0</v>
      </c>
      <c r="BN28" t="e">
        <f>AND('Data Extract File Ty'!A546,"AAAAADezt0E=")</f>
        <v>#VALUE!</v>
      </c>
      <c r="BO28" t="e">
        <f>AND('Data Extract File Ty'!B546,"AAAAADezt0I=")</f>
        <v>#VALUE!</v>
      </c>
      <c r="BP28" t="e">
        <f>AND('Data Extract File Ty'!C546,"AAAAADezt0M=")</f>
        <v>#VALUE!</v>
      </c>
      <c r="BQ28" t="e">
        <f>AND('Data Extract File Ty'!D546,"AAAAADezt0Q=")</f>
        <v>#VALUE!</v>
      </c>
      <c r="BR28">
        <f>IF('Data Extract File Ty'!547:547,"AAAAADezt0U=",0)</f>
        <v>0</v>
      </c>
      <c r="BS28" t="e">
        <f>AND('Data Extract File Ty'!A547,"AAAAADezt0Y=")</f>
        <v>#VALUE!</v>
      </c>
      <c r="BT28" t="e">
        <f>AND('Data Extract File Ty'!B547,"AAAAADezt0c=")</f>
        <v>#VALUE!</v>
      </c>
      <c r="BU28" t="e">
        <f>AND('Data Extract File Ty'!C547,"AAAAADezt0g=")</f>
        <v>#VALUE!</v>
      </c>
      <c r="BV28" t="e">
        <f>AND('Data Extract File Ty'!D547,"AAAAADezt0k=")</f>
        <v>#VALUE!</v>
      </c>
      <c r="BW28">
        <f>IF('Data Extract File Ty'!548:548,"AAAAADezt0o=",0)</f>
        <v>0</v>
      </c>
      <c r="BX28" t="e">
        <f>AND('Data Extract File Ty'!A548,"AAAAADezt0s=")</f>
        <v>#VALUE!</v>
      </c>
      <c r="BY28" t="e">
        <f>AND('Data Extract File Ty'!B548,"AAAAADezt0w=")</f>
        <v>#VALUE!</v>
      </c>
      <c r="BZ28" t="e">
        <f>AND('Data Extract File Ty'!C548,"AAAAADezt00=")</f>
        <v>#VALUE!</v>
      </c>
      <c r="CA28" t="e">
        <f>AND('Data Extract File Ty'!D548,"AAAAADezt04=")</f>
        <v>#VALUE!</v>
      </c>
      <c r="CB28">
        <f>IF('Data Extract File Ty'!549:549,"AAAAADezt08=",0)</f>
        <v>0</v>
      </c>
      <c r="CC28" t="e">
        <f>AND('Data Extract File Ty'!A549,"AAAAADezt1A=")</f>
        <v>#VALUE!</v>
      </c>
      <c r="CD28" t="e">
        <f>AND('Data Extract File Ty'!B549,"AAAAADezt1E=")</f>
        <v>#VALUE!</v>
      </c>
      <c r="CE28" t="e">
        <f>AND('Data Extract File Ty'!C549,"AAAAADezt1I=")</f>
        <v>#VALUE!</v>
      </c>
      <c r="CF28" t="e">
        <f>AND('Data Extract File Ty'!D549,"AAAAADezt1M=")</f>
        <v>#VALUE!</v>
      </c>
      <c r="CG28">
        <f>IF('Data Extract File Ty'!550:550,"AAAAADezt1Q=",0)</f>
        <v>0</v>
      </c>
      <c r="CH28" t="e">
        <f>AND('Data Extract File Ty'!A550,"AAAAADezt1U=")</f>
        <v>#VALUE!</v>
      </c>
      <c r="CI28" t="e">
        <f>AND('Data Extract File Ty'!B550,"AAAAADezt1Y=")</f>
        <v>#VALUE!</v>
      </c>
      <c r="CJ28" t="e">
        <f>AND('Data Extract File Ty'!C550,"AAAAADezt1c=")</f>
        <v>#VALUE!</v>
      </c>
      <c r="CK28" t="e">
        <f>AND('Data Extract File Ty'!D550,"AAAAADezt1g=")</f>
        <v>#VALUE!</v>
      </c>
      <c r="CL28">
        <f>IF('Data Extract File Ty'!551:551,"AAAAADezt1k=",0)</f>
        <v>0</v>
      </c>
      <c r="CM28" t="e">
        <f>AND('Data Extract File Ty'!A551,"AAAAADezt1o=")</f>
        <v>#VALUE!</v>
      </c>
      <c r="CN28" t="e">
        <f>AND('Data Extract File Ty'!B551,"AAAAADezt1s=")</f>
        <v>#VALUE!</v>
      </c>
      <c r="CO28" t="e">
        <f>AND('Data Extract File Ty'!C551,"AAAAADezt1w=")</f>
        <v>#VALUE!</v>
      </c>
      <c r="CP28" t="e">
        <f>AND('Data Extract File Ty'!D551,"AAAAADezt10=")</f>
        <v>#VALUE!</v>
      </c>
      <c r="CQ28">
        <f>IF('Data Extract File Ty'!552:552,"AAAAADezt14=",0)</f>
        <v>0</v>
      </c>
      <c r="CR28" t="e">
        <f>AND('Data Extract File Ty'!A552,"AAAAADezt18=")</f>
        <v>#VALUE!</v>
      </c>
      <c r="CS28" t="e">
        <f>AND('Data Extract File Ty'!B552,"AAAAADezt2A=")</f>
        <v>#VALUE!</v>
      </c>
      <c r="CT28" t="e">
        <f>AND('Data Extract File Ty'!C552,"AAAAADezt2E=")</f>
        <v>#VALUE!</v>
      </c>
      <c r="CU28" t="e">
        <f>AND('Data Extract File Ty'!D552,"AAAAADezt2I=")</f>
        <v>#VALUE!</v>
      </c>
      <c r="CV28">
        <f>IF('Data Extract File Ty'!553:553,"AAAAADezt2M=",0)</f>
        <v>0</v>
      </c>
      <c r="CW28" t="e">
        <f>AND('Data Extract File Ty'!A553,"AAAAADezt2Q=")</f>
        <v>#VALUE!</v>
      </c>
      <c r="CX28" t="e">
        <f>AND('Data Extract File Ty'!B553,"AAAAADezt2U=")</f>
        <v>#VALUE!</v>
      </c>
      <c r="CY28" t="e">
        <f>AND('Data Extract File Ty'!C553,"AAAAADezt2Y=")</f>
        <v>#VALUE!</v>
      </c>
      <c r="CZ28" t="e">
        <f>AND('Data Extract File Ty'!D553,"AAAAADezt2c=")</f>
        <v>#VALUE!</v>
      </c>
      <c r="DA28">
        <f>IF('Data Extract File Ty'!554:554,"AAAAADezt2g=",0)</f>
        <v>0</v>
      </c>
      <c r="DB28" t="e">
        <f>AND('Data Extract File Ty'!A554,"AAAAADezt2k=")</f>
        <v>#VALUE!</v>
      </c>
      <c r="DC28" t="e">
        <f>AND('Data Extract File Ty'!B554,"AAAAADezt2o=")</f>
        <v>#VALUE!</v>
      </c>
      <c r="DD28" t="e">
        <f>AND('Data Extract File Ty'!C554,"AAAAADezt2s=")</f>
        <v>#VALUE!</v>
      </c>
      <c r="DE28" t="e">
        <f>AND('Data Extract File Ty'!D554,"AAAAADezt2w=")</f>
        <v>#VALUE!</v>
      </c>
      <c r="DF28">
        <f>IF('Data Extract File Ty'!555:555,"AAAAADezt20=",0)</f>
        <v>0</v>
      </c>
      <c r="DG28" t="e">
        <f>AND('Data Extract File Ty'!A555,"AAAAADezt24=")</f>
        <v>#VALUE!</v>
      </c>
      <c r="DH28" t="e">
        <f>AND('Data Extract File Ty'!B555,"AAAAADezt28=")</f>
        <v>#VALUE!</v>
      </c>
      <c r="DI28" t="e">
        <f>AND('Data Extract File Ty'!C555,"AAAAADezt3A=")</f>
        <v>#VALUE!</v>
      </c>
      <c r="DJ28" t="e">
        <f>AND('Data Extract File Ty'!D555,"AAAAADezt3E=")</f>
        <v>#VALUE!</v>
      </c>
      <c r="DK28">
        <f>IF('Data Extract File Ty'!556:556,"AAAAADezt3I=",0)</f>
        <v>0</v>
      </c>
      <c r="DL28" t="e">
        <f>AND('Data Extract File Ty'!A556,"AAAAADezt3M=")</f>
        <v>#VALUE!</v>
      </c>
      <c r="DM28" t="e">
        <f>AND('Data Extract File Ty'!B556,"AAAAADezt3Q=")</f>
        <v>#VALUE!</v>
      </c>
      <c r="DN28" t="e">
        <f>AND('Data Extract File Ty'!C556,"AAAAADezt3U=")</f>
        <v>#VALUE!</v>
      </c>
      <c r="DO28" t="e">
        <f>AND('Data Extract File Ty'!D556,"AAAAADezt3Y=")</f>
        <v>#VALUE!</v>
      </c>
      <c r="DP28">
        <f>IF('Data Extract File Ty'!557:557,"AAAAADezt3c=",0)</f>
        <v>0</v>
      </c>
      <c r="DQ28" t="e">
        <f>AND('Data Extract File Ty'!A557,"AAAAADezt3g=")</f>
        <v>#VALUE!</v>
      </c>
      <c r="DR28" t="e">
        <f>AND('Data Extract File Ty'!B557,"AAAAADezt3k=")</f>
        <v>#VALUE!</v>
      </c>
      <c r="DS28" t="e">
        <f>AND('Data Extract File Ty'!C557,"AAAAADezt3o=")</f>
        <v>#VALUE!</v>
      </c>
      <c r="DT28" t="e">
        <f>AND('Data Extract File Ty'!D557,"AAAAADezt3s=")</f>
        <v>#VALUE!</v>
      </c>
      <c r="DU28">
        <f>IF('Data Extract File Ty'!558:558,"AAAAADezt3w=",0)</f>
        <v>0</v>
      </c>
      <c r="DV28" t="e">
        <f>AND('Data Extract File Ty'!A558,"AAAAADezt30=")</f>
        <v>#VALUE!</v>
      </c>
      <c r="DW28" t="e">
        <f>AND('Data Extract File Ty'!B558,"AAAAADezt34=")</f>
        <v>#VALUE!</v>
      </c>
      <c r="DX28" t="e">
        <f>AND('Data Extract File Ty'!C558,"AAAAADezt38=")</f>
        <v>#VALUE!</v>
      </c>
      <c r="DY28" t="e">
        <f>AND('Data Extract File Ty'!D558,"AAAAADezt4A=")</f>
        <v>#VALUE!</v>
      </c>
      <c r="DZ28">
        <f>IF('Data Extract File Ty'!559:559,"AAAAADezt4E=",0)</f>
        <v>0</v>
      </c>
      <c r="EA28" t="e">
        <f>AND('Data Extract File Ty'!A559,"AAAAADezt4I=")</f>
        <v>#VALUE!</v>
      </c>
      <c r="EB28" t="e">
        <f>AND('Data Extract File Ty'!B559,"AAAAADezt4M=")</f>
        <v>#VALUE!</v>
      </c>
      <c r="EC28" t="e">
        <f>AND('Data Extract File Ty'!C559,"AAAAADezt4Q=")</f>
        <v>#VALUE!</v>
      </c>
      <c r="ED28" t="e">
        <f>AND('Data Extract File Ty'!D559,"AAAAADezt4U=")</f>
        <v>#VALUE!</v>
      </c>
      <c r="EE28">
        <f>IF('Data Extract File Ty'!560:560,"AAAAADezt4Y=",0)</f>
        <v>0</v>
      </c>
      <c r="EF28" t="e">
        <f>AND('Data Extract File Ty'!A560,"AAAAADezt4c=")</f>
        <v>#VALUE!</v>
      </c>
      <c r="EG28" t="e">
        <f>AND('Data Extract File Ty'!B560,"AAAAADezt4g=")</f>
        <v>#VALUE!</v>
      </c>
      <c r="EH28" t="e">
        <f>AND('Data Extract File Ty'!C560,"AAAAADezt4k=")</f>
        <v>#VALUE!</v>
      </c>
      <c r="EI28" t="e">
        <f>AND('Data Extract File Ty'!D560,"AAAAADezt4o=")</f>
        <v>#VALUE!</v>
      </c>
      <c r="EJ28">
        <f>IF('Data Extract File Ty'!561:561,"AAAAADezt4s=",0)</f>
        <v>0</v>
      </c>
      <c r="EK28" t="e">
        <f>AND('Data Extract File Ty'!A561,"AAAAADezt4w=")</f>
        <v>#VALUE!</v>
      </c>
      <c r="EL28" t="e">
        <f>AND('Data Extract File Ty'!B561,"AAAAADezt40=")</f>
        <v>#VALUE!</v>
      </c>
      <c r="EM28" t="e">
        <f>AND('Data Extract File Ty'!C561,"AAAAADezt44=")</f>
        <v>#VALUE!</v>
      </c>
      <c r="EN28" t="e">
        <f>AND('Data Extract File Ty'!D561,"AAAAADezt48=")</f>
        <v>#VALUE!</v>
      </c>
      <c r="EO28">
        <f>IF('Data Extract File Ty'!562:562,"AAAAADezt5A=",0)</f>
        <v>0</v>
      </c>
      <c r="EP28" t="e">
        <f>AND('Data Extract File Ty'!A562,"AAAAADezt5E=")</f>
        <v>#VALUE!</v>
      </c>
      <c r="EQ28" t="e">
        <f>AND('Data Extract File Ty'!B562,"AAAAADezt5I=")</f>
        <v>#VALUE!</v>
      </c>
      <c r="ER28" t="e">
        <f>AND('Data Extract File Ty'!C562,"AAAAADezt5M=")</f>
        <v>#VALUE!</v>
      </c>
      <c r="ES28" t="e">
        <f>AND('Data Extract File Ty'!D562,"AAAAADezt5Q=")</f>
        <v>#VALUE!</v>
      </c>
      <c r="ET28">
        <f>IF('Data Extract File Ty'!563:563,"AAAAADezt5U=",0)</f>
        <v>0</v>
      </c>
      <c r="EU28" t="e">
        <f>AND('Data Extract File Ty'!A563,"AAAAADezt5Y=")</f>
        <v>#VALUE!</v>
      </c>
      <c r="EV28" t="e">
        <f>AND('Data Extract File Ty'!B563,"AAAAADezt5c=")</f>
        <v>#VALUE!</v>
      </c>
      <c r="EW28" t="e">
        <f>AND('Data Extract File Ty'!C563,"AAAAADezt5g=")</f>
        <v>#VALUE!</v>
      </c>
      <c r="EX28" t="e">
        <f>AND('Data Extract File Ty'!D563,"AAAAADezt5k=")</f>
        <v>#VALUE!</v>
      </c>
      <c r="EY28">
        <f>IF('Data Extract File Ty'!564:564,"AAAAADezt5o=",0)</f>
        <v>0</v>
      </c>
      <c r="EZ28" t="e">
        <f>AND('Data Extract File Ty'!A564,"AAAAADezt5s=")</f>
        <v>#VALUE!</v>
      </c>
      <c r="FA28" t="e">
        <f>AND('Data Extract File Ty'!B564,"AAAAADezt5w=")</f>
        <v>#VALUE!</v>
      </c>
      <c r="FB28" t="e">
        <f>AND('Data Extract File Ty'!C564,"AAAAADezt50=")</f>
        <v>#VALUE!</v>
      </c>
      <c r="FC28" t="e">
        <f>AND('Data Extract File Ty'!D564,"AAAAADezt54=")</f>
        <v>#VALUE!</v>
      </c>
      <c r="FD28">
        <f>IF('Data Extract File Ty'!565:565,"AAAAADezt58=",0)</f>
        <v>0</v>
      </c>
      <c r="FE28" t="e">
        <f>AND('Data Extract File Ty'!A565,"AAAAADezt6A=")</f>
        <v>#VALUE!</v>
      </c>
      <c r="FF28" t="e">
        <f>AND('Data Extract File Ty'!B565,"AAAAADezt6E=")</f>
        <v>#VALUE!</v>
      </c>
      <c r="FG28" t="e">
        <f>AND('Data Extract File Ty'!C565,"AAAAADezt6I=")</f>
        <v>#VALUE!</v>
      </c>
      <c r="FH28" t="e">
        <f>AND('Data Extract File Ty'!D565,"AAAAADezt6M=")</f>
        <v>#VALUE!</v>
      </c>
      <c r="FI28">
        <f>IF('Data Extract File Ty'!566:566,"AAAAADezt6Q=",0)</f>
        <v>0</v>
      </c>
      <c r="FJ28" t="e">
        <f>AND('Data Extract File Ty'!A566,"AAAAADezt6U=")</f>
        <v>#VALUE!</v>
      </c>
      <c r="FK28" t="e">
        <f>AND('Data Extract File Ty'!B566,"AAAAADezt6Y=")</f>
        <v>#VALUE!</v>
      </c>
      <c r="FL28" t="e">
        <f>AND('Data Extract File Ty'!C566,"AAAAADezt6c=")</f>
        <v>#VALUE!</v>
      </c>
      <c r="FM28" t="e">
        <f>AND('Data Extract File Ty'!D566,"AAAAADezt6g=")</f>
        <v>#VALUE!</v>
      </c>
      <c r="FN28">
        <f>IF('Data Extract File Ty'!567:567,"AAAAADezt6k=",0)</f>
        <v>0</v>
      </c>
      <c r="FO28" t="e">
        <f>AND('Data Extract File Ty'!A567,"AAAAADezt6o=")</f>
        <v>#VALUE!</v>
      </c>
      <c r="FP28" t="e">
        <f>AND('Data Extract File Ty'!B567,"AAAAADezt6s=")</f>
        <v>#VALUE!</v>
      </c>
      <c r="FQ28" t="e">
        <f>AND('Data Extract File Ty'!C567,"AAAAADezt6w=")</f>
        <v>#VALUE!</v>
      </c>
      <c r="FR28" t="e">
        <f>AND('Data Extract File Ty'!D567,"AAAAADezt60=")</f>
        <v>#VALUE!</v>
      </c>
      <c r="FS28">
        <f>IF('Data Extract File Ty'!568:568,"AAAAADezt64=",0)</f>
        <v>0</v>
      </c>
      <c r="FT28" t="e">
        <f>AND('Data Extract File Ty'!A568,"AAAAADezt68=")</f>
        <v>#VALUE!</v>
      </c>
      <c r="FU28" t="e">
        <f>AND('Data Extract File Ty'!B568,"AAAAADezt7A=")</f>
        <v>#VALUE!</v>
      </c>
      <c r="FV28" t="e">
        <f>AND('Data Extract File Ty'!C568,"AAAAADezt7E=")</f>
        <v>#VALUE!</v>
      </c>
      <c r="FW28" t="e">
        <f>AND('Data Extract File Ty'!D568,"AAAAADezt7I=")</f>
        <v>#VALUE!</v>
      </c>
      <c r="FX28">
        <f>IF('Data Extract File Ty'!569:569,"AAAAADezt7M=",0)</f>
        <v>0</v>
      </c>
      <c r="FY28" t="e">
        <f>AND('Data Extract File Ty'!A569,"AAAAADezt7Q=")</f>
        <v>#VALUE!</v>
      </c>
      <c r="FZ28" t="e">
        <f>AND('Data Extract File Ty'!B569,"AAAAADezt7U=")</f>
        <v>#VALUE!</v>
      </c>
      <c r="GA28" t="e">
        <f>AND('Data Extract File Ty'!C569,"AAAAADezt7Y=")</f>
        <v>#VALUE!</v>
      </c>
      <c r="GB28" t="e">
        <f>AND('Data Extract File Ty'!D569,"AAAAADezt7c=")</f>
        <v>#VALUE!</v>
      </c>
      <c r="GC28">
        <f>IF('Data Extract File Ty'!570:570,"AAAAADezt7g=",0)</f>
        <v>0</v>
      </c>
      <c r="GD28" t="e">
        <f>AND('Data Extract File Ty'!A570,"AAAAADezt7k=")</f>
        <v>#VALUE!</v>
      </c>
      <c r="GE28" t="e">
        <f>AND('Data Extract File Ty'!B570,"AAAAADezt7o=")</f>
        <v>#VALUE!</v>
      </c>
      <c r="GF28" t="e">
        <f>AND('Data Extract File Ty'!C570,"AAAAADezt7s=")</f>
        <v>#VALUE!</v>
      </c>
      <c r="GG28" t="e">
        <f>AND('Data Extract File Ty'!D570,"AAAAADezt7w=")</f>
        <v>#VALUE!</v>
      </c>
      <c r="GH28">
        <f>IF('Data Extract File Ty'!571:571,"AAAAADezt70=",0)</f>
        <v>0</v>
      </c>
      <c r="GI28" t="e">
        <f>AND('Data Extract File Ty'!A571,"AAAAADezt74=")</f>
        <v>#VALUE!</v>
      </c>
      <c r="GJ28" t="e">
        <f>AND('Data Extract File Ty'!B571,"AAAAADezt78=")</f>
        <v>#VALUE!</v>
      </c>
      <c r="GK28" t="e">
        <f>AND('Data Extract File Ty'!C571,"AAAAADezt8A=")</f>
        <v>#VALUE!</v>
      </c>
      <c r="GL28" t="e">
        <f>AND('Data Extract File Ty'!D571,"AAAAADezt8E=")</f>
        <v>#VALUE!</v>
      </c>
      <c r="GM28">
        <f>IF('Data Extract File Ty'!572:572,"AAAAADezt8I=",0)</f>
        <v>0</v>
      </c>
      <c r="GN28" t="e">
        <f>AND('Data Extract File Ty'!A572,"AAAAADezt8M=")</f>
        <v>#VALUE!</v>
      </c>
      <c r="GO28" t="e">
        <f>AND('Data Extract File Ty'!B572,"AAAAADezt8Q=")</f>
        <v>#VALUE!</v>
      </c>
      <c r="GP28" t="e">
        <f>AND('Data Extract File Ty'!C572,"AAAAADezt8U=")</f>
        <v>#VALUE!</v>
      </c>
      <c r="GQ28" t="e">
        <f>AND('Data Extract File Ty'!D572,"AAAAADezt8Y=")</f>
        <v>#VALUE!</v>
      </c>
      <c r="GR28">
        <f>IF('Data Extract File Ty'!573:573,"AAAAADezt8c=",0)</f>
        <v>0</v>
      </c>
      <c r="GS28" t="e">
        <f>AND('Data Extract File Ty'!A573,"AAAAADezt8g=")</f>
        <v>#VALUE!</v>
      </c>
      <c r="GT28" t="e">
        <f>AND('Data Extract File Ty'!B573,"AAAAADezt8k=")</f>
        <v>#VALUE!</v>
      </c>
      <c r="GU28" t="e">
        <f>AND('Data Extract File Ty'!C573,"AAAAADezt8o=")</f>
        <v>#VALUE!</v>
      </c>
      <c r="GV28" t="e">
        <f>AND('Data Extract File Ty'!D573,"AAAAADezt8s=")</f>
        <v>#VALUE!</v>
      </c>
      <c r="GW28">
        <f>IF('Data Extract File Ty'!574:574,"AAAAADezt8w=",0)</f>
        <v>0</v>
      </c>
      <c r="GX28" t="e">
        <f>AND('Data Extract File Ty'!A574,"AAAAADezt80=")</f>
        <v>#VALUE!</v>
      </c>
      <c r="GY28" t="e">
        <f>AND('Data Extract File Ty'!B574,"AAAAADezt84=")</f>
        <v>#VALUE!</v>
      </c>
      <c r="GZ28" t="e">
        <f>AND('Data Extract File Ty'!C574,"AAAAADezt88=")</f>
        <v>#VALUE!</v>
      </c>
      <c r="HA28" t="e">
        <f>AND('Data Extract File Ty'!D574,"AAAAADezt9A=")</f>
        <v>#VALUE!</v>
      </c>
      <c r="HB28">
        <f>IF('Data Extract File Ty'!575:575,"AAAAADezt9E=",0)</f>
        <v>0</v>
      </c>
      <c r="HC28" t="e">
        <f>AND('Data Extract File Ty'!A575,"AAAAADezt9I=")</f>
        <v>#VALUE!</v>
      </c>
      <c r="HD28" t="e">
        <f>AND('Data Extract File Ty'!B575,"AAAAADezt9M=")</f>
        <v>#VALUE!</v>
      </c>
      <c r="HE28" t="e">
        <f>AND('Data Extract File Ty'!C575,"AAAAADezt9Q=")</f>
        <v>#VALUE!</v>
      </c>
      <c r="HF28" t="e">
        <f>AND('Data Extract File Ty'!D575,"AAAAADezt9U=")</f>
        <v>#VALUE!</v>
      </c>
      <c r="HG28">
        <f>IF('Data Extract File Ty'!576:576,"AAAAADezt9Y=",0)</f>
        <v>0</v>
      </c>
      <c r="HH28" t="e">
        <f>AND('Data Extract File Ty'!A576,"AAAAADezt9c=")</f>
        <v>#VALUE!</v>
      </c>
      <c r="HI28" t="e">
        <f>AND('Data Extract File Ty'!B576,"AAAAADezt9g=")</f>
        <v>#VALUE!</v>
      </c>
      <c r="HJ28" t="e">
        <f>AND('Data Extract File Ty'!C576,"AAAAADezt9k=")</f>
        <v>#VALUE!</v>
      </c>
      <c r="HK28" t="e">
        <f>AND('Data Extract File Ty'!D576,"AAAAADezt9o=")</f>
        <v>#VALUE!</v>
      </c>
      <c r="HL28">
        <f>IF('Data Extract File Ty'!577:577,"AAAAADezt9s=",0)</f>
        <v>0</v>
      </c>
      <c r="HM28" t="e">
        <f>AND('Data Extract File Ty'!A577,"AAAAADezt9w=")</f>
        <v>#VALUE!</v>
      </c>
      <c r="HN28" t="e">
        <f>AND('Data Extract File Ty'!B577,"AAAAADezt90=")</f>
        <v>#VALUE!</v>
      </c>
      <c r="HO28" t="e">
        <f>AND('Data Extract File Ty'!C577,"AAAAADezt94=")</f>
        <v>#VALUE!</v>
      </c>
      <c r="HP28" t="e">
        <f>AND('Data Extract File Ty'!D577,"AAAAADezt98=")</f>
        <v>#VALUE!</v>
      </c>
      <c r="HQ28">
        <f>IF('Data Extract File Ty'!578:578,"AAAAADezt+A=",0)</f>
        <v>0</v>
      </c>
      <c r="HR28" t="e">
        <f>AND('Data Extract File Ty'!A578,"AAAAADezt+E=")</f>
        <v>#VALUE!</v>
      </c>
      <c r="HS28" t="e">
        <f>AND('Data Extract File Ty'!B578,"AAAAADezt+I=")</f>
        <v>#VALUE!</v>
      </c>
      <c r="HT28" t="e">
        <f>AND('Data Extract File Ty'!C578,"AAAAADezt+M=")</f>
        <v>#VALUE!</v>
      </c>
      <c r="HU28" t="e">
        <f>AND('Data Extract File Ty'!D578,"AAAAADezt+Q=")</f>
        <v>#VALUE!</v>
      </c>
      <c r="HV28">
        <f>IF('Data Extract File Ty'!579:579,"AAAAADezt+U=",0)</f>
        <v>0</v>
      </c>
      <c r="HW28" t="e">
        <f>AND('Data Extract File Ty'!A579,"AAAAADezt+Y=")</f>
        <v>#VALUE!</v>
      </c>
      <c r="HX28" t="e">
        <f>AND('Data Extract File Ty'!B579,"AAAAADezt+c=")</f>
        <v>#VALUE!</v>
      </c>
      <c r="HY28" t="e">
        <f>AND('Data Extract File Ty'!C579,"AAAAADezt+g=")</f>
        <v>#VALUE!</v>
      </c>
      <c r="HZ28" t="e">
        <f>AND('Data Extract File Ty'!D579,"AAAAADezt+k=")</f>
        <v>#VALUE!</v>
      </c>
      <c r="IA28">
        <f>IF('Data Extract File Ty'!580:580,"AAAAADezt+o=",0)</f>
        <v>0</v>
      </c>
      <c r="IB28" t="e">
        <f>AND('Data Extract File Ty'!A580,"AAAAADezt+s=")</f>
        <v>#VALUE!</v>
      </c>
      <c r="IC28" t="e">
        <f>AND('Data Extract File Ty'!B580,"AAAAADezt+w=")</f>
        <v>#VALUE!</v>
      </c>
      <c r="ID28" t="e">
        <f>AND('Data Extract File Ty'!C580,"AAAAADezt+0=")</f>
        <v>#VALUE!</v>
      </c>
      <c r="IE28" t="e">
        <f>AND('Data Extract File Ty'!D580,"AAAAADezt+4=")</f>
        <v>#VALUE!</v>
      </c>
      <c r="IF28">
        <f>IF('Data Extract File Ty'!581:581,"AAAAADezt+8=",0)</f>
        <v>0</v>
      </c>
      <c r="IG28" t="e">
        <f>AND('Data Extract File Ty'!A581,"AAAAADezt/A=")</f>
        <v>#VALUE!</v>
      </c>
      <c r="IH28" t="e">
        <f>AND('Data Extract File Ty'!B581,"AAAAADezt/E=")</f>
        <v>#VALUE!</v>
      </c>
      <c r="II28" t="e">
        <f>AND('Data Extract File Ty'!C581,"AAAAADezt/I=")</f>
        <v>#VALUE!</v>
      </c>
      <c r="IJ28" t="e">
        <f>AND('Data Extract File Ty'!D581,"AAAAADezt/M=")</f>
        <v>#VALUE!</v>
      </c>
      <c r="IK28">
        <f>IF('Data Extract File Ty'!582:582,"AAAAADezt/Q=",0)</f>
        <v>0</v>
      </c>
      <c r="IL28" t="e">
        <f>AND('Data Extract File Ty'!A582,"AAAAADezt/U=")</f>
        <v>#VALUE!</v>
      </c>
      <c r="IM28" t="e">
        <f>AND('Data Extract File Ty'!B582,"AAAAADezt/Y=")</f>
        <v>#VALUE!</v>
      </c>
      <c r="IN28" t="e">
        <f>AND('Data Extract File Ty'!C582,"AAAAADezt/c=")</f>
        <v>#VALUE!</v>
      </c>
      <c r="IO28" t="e">
        <f>AND('Data Extract File Ty'!D582,"AAAAADezt/g=")</f>
        <v>#VALUE!</v>
      </c>
      <c r="IP28">
        <f>IF('Data Extract File Ty'!583:583,"AAAAADezt/k=",0)</f>
        <v>0</v>
      </c>
      <c r="IQ28" t="e">
        <f>AND('Data Extract File Ty'!A583,"AAAAADezt/o=")</f>
        <v>#VALUE!</v>
      </c>
      <c r="IR28" t="e">
        <f>AND('Data Extract File Ty'!B583,"AAAAADezt/s=")</f>
        <v>#VALUE!</v>
      </c>
      <c r="IS28" t="e">
        <f>AND('Data Extract File Ty'!C583,"AAAAADezt/w=")</f>
        <v>#VALUE!</v>
      </c>
      <c r="IT28" t="e">
        <f>AND('Data Extract File Ty'!D583,"AAAAADezt/0=")</f>
        <v>#VALUE!</v>
      </c>
      <c r="IU28">
        <f>IF('Data Extract File Ty'!584:584,"AAAAADezt/4=",0)</f>
        <v>0</v>
      </c>
      <c r="IV28" t="e">
        <f>AND('Data Extract File Ty'!A584,"AAAAADezt/8=")</f>
        <v>#VALUE!</v>
      </c>
    </row>
    <row r="29" spans="1:256" x14ac:dyDescent="0.2">
      <c r="A29" t="e">
        <f>AND('Data Extract File Ty'!B584,"AAAAAB/3uwA=")</f>
        <v>#VALUE!</v>
      </c>
      <c r="B29" t="e">
        <f>AND('Data Extract File Ty'!C584,"AAAAAB/3uwE=")</f>
        <v>#VALUE!</v>
      </c>
      <c r="C29" t="e">
        <f>AND('Data Extract File Ty'!D584,"AAAAAB/3uwI=")</f>
        <v>#VALUE!</v>
      </c>
      <c r="D29" t="e">
        <f>IF('Data Extract File Ty'!585:585,"AAAAAB/3uwM=",0)</f>
        <v>#VALUE!</v>
      </c>
      <c r="E29" t="e">
        <f>AND('Data Extract File Ty'!A585,"AAAAAB/3uwQ=")</f>
        <v>#VALUE!</v>
      </c>
      <c r="F29" t="e">
        <f>AND('Data Extract File Ty'!B585,"AAAAAB/3uwU=")</f>
        <v>#VALUE!</v>
      </c>
      <c r="G29" t="e">
        <f>AND('Data Extract File Ty'!C585,"AAAAAB/3uwY=")</f>
        <v>#VALUE!</v>
      </c>
      <c r="H29" t="e">
        <f>AND('Data Extract File Ty'!D585,"AAAAAB/3uwc=")</f>
        <v>#VALUE!</v>
      </c>
      <c r="I29">
        <f>IF('Data Extract File Ty'!586:586,"AAAAAB/3uwg=",0)</f>
        <v>0</v>
      </c>
      <c r="J29" t="e">
        <f>AND('Data Extract File Ty'!A586,"AAAAAB/3uwk=")</f>
        <v>#VALUE!</v>
      </c>
      <c r="K29" t="e">
        <f>AND('Data Extract File Ty'!B586,"AAAAAB/3uwo=")</f>
        <v>#VALUE!</v>
      </c>
      <c r="L29" t="e">
        <f>AND('Data Extract File Ty'!C586,"AAAAAB/3uws=")</f>
        <v>#VALUE!</v>
      </c>
      <c r="M29" t="e">
        <f>AND('Data Extract File Ty'!D586,"AAAAAB/3uww=")</f>
        <v>#VALUE!</v>
      </c>
      <c r="N29">
        <f>IF('Data Extract File Ty'!587:587,"AAAAAB/3uw0=",0)</f>
        <v>0</v>
      </c>
      <c r="O29" t="e">
        <f>AND('Data Extract File Ty'!A587,"AAAAAB/3uw4=")</f>
        <v>#VALUE!</v>
      </c>
      <c r="P29" t="e">
        <f>AND('Data Extract File Ty'!B587,"AAAAAB/3uw8=")</f>
        <v>#VALUE!</v>
      </c>
      <c r="Q29" t="e">
        <f>AND('Data Extract File Ty'!C587,"AAAAAB/3uxA=")</f>
        <v>#VALUE!</v>
      </c>
      <c r="R29" t="e">
        <f>AND('Data Extract File Ty'!D587,"AAAAAB/3uxE=")</f>
        <v>#VALUE!</v>
      </c>
      <c r="S29">
        <f>IF('Data Extract File Ty'!588:588,"AAAAAB/3uxI=",0)</f>
        <v>0</v>
      </c>
      <c r="T29" t="e">
        <f>AND('Data Extract File Ty'!A588,"AAAAAB/3uxM=")</f>
        <v>#VALUE!</v>
      </c>
      <c r="U29" t="e">
        <f>AND('Data Extract File Ty'!B588,"AAAAAB/3uxQ=")</f>
        <v>#VALUE!</v>
      </c>
      <c r="V29" t="e">
        <f>AND('Data Extract File Ty'!C588,"AAAAAB/3uxU=")</f>
        <v>#VALUE!</v>
      </c>
      <c r="W29" t="e">
        <f>AND('Data Extract File Ty'!D588,"AAAAAB/3uxY=")</f>
        <v>#VALUE!</v>
      </c>
      <c r="X29">
        <f>IF('Data Extract File Ty'!589:589,"AAAAAB/3uxc=",0)</f>
        <v>0</v>
      </c>
      <c r="Y29" t="e">
        <f>AND('Data Extract File Ty'!A589,"AAAAAB/3uxg=")</f>
        <v>#VALUE!</v>
      </c>
      <c r="Z29" t="e">
        <f>AND('Data Extract File Ty'!B589,"AAAAAB/3uxk=")</f>
        <v>#VALUE!</v>
      </c>
      <c r="AA29" t="e">
        <f>AND('Data Extract File Ty'!C589,"AAAAAB/3uxo=")</f>
        <v>#VALUE!</v>
      </c>
      <c r="AB29" t="e">
        <f>AND('Data Extract File Ty'!D589,"AAAAAB/3uxs=")</f>
        <v>#VALUE!</v>
      </c>
      <c r="AC29">
        <f>IF('Data Extract File Ty'!590:590,"AAAAAB/3uxw=",0)</f>
        <v>0</v>
      </c>
      <c r="AD29" t="e">
        <f>AND('Data Extract File Ty'!A590,"AAAAAB/3ux0=")</f>
        <v>#VALUE!</v>
      </c>
      <c r="AE29" t="e">
        <f>AND('Data Extract File Ty'!B590,"AAAAAB/3ux4=")</f>
        <v>#VALUE!</v>
      </c>
      <c r="AF29" t="e">
        <f>AND('Data Extract File Ty'!C590,"AAAAAB/3ux8=")</f>
        <v>#VALUE!</v>
      </c>
      <c r="AG29" t="e">
        <f>AND('Data Extract File Ty'!D590,"AAAAAB/3uyA=")</f>
        <v>#VALUE!</v>
      </c>
      <c r="AH29">
        <f>IF('Data Extract File Ty'!591:591,"AAAAAB/3uyE=",0)</f>
        <v>0</v>
      </c>
      <c r="AI29" t="e">
        <f>AND('Data Extract File Ty'!A591,"AAAAAB/3uyI=")</f>
        <v>#VALUE!</v>
      </c>
      <c r="AJ29" t="e">
        <f>AND('Data Extract File Ty'!B591,"AAAAAB/3uyM=")</f>
        <v>#VALUE!</v>
      </c>
      <c r="AK29" t="e">
        <f>AND('Data Extract File Ty'!C591,"AAAAAB/3uyQ=")</f>
        <v>#VALUE!</v>
      </c>
      <c r="AL29" t="e">
        <f>AND('Data Extract File Ty'!D591,"AAAAAB/3uyU=")</f>
        <v>#VALUE!</v>
      </c>
      <c r="AM29">
        <f>IF('Data Extract File Ty'!592:592,"AAAAAB/3uyY=",0)</f>
        <v>0</v>
      </c>
      <c r="AN29" t="e">
        <f>AND('Data Extract File Ty'!A592,"AAAAAB/3uyc=")</f>
        <v>#VALUE!</v>
      </c>
      <c r="AO29" t="e">
        <f>AND('Data Extract File Ty'!B592,"AAAAAB/3uyg=")</f>
        <v>#VALUE!</v>
      </c>
      <c r="AP29" t="e">
        <f>AND('Data Extract File Ty'!C592,"AAAAAB/3uyk=")</f>
        <v>#VALUE!</v>
      </c>
      <c r="AQ29" t="e">
        <f>AND('Data Extract File Ty'!D592,"AAAAAB/3uyo=")</f>
        <v>#VALUE!</v>
      </c>
      <c r="AR29">
        <f>IF('Data Extract File Ty'!593:593,"AAAAAB/3uys=",0)</f>
        <v>0</v>
      </c>
      <c r="AS29" t="e">
        <f>AND('Data Extract File Ty'!A593,"AAAAAB/3uyw=")</f>
        <v>#VALUE!</v>
      </c>
      <c r="AT29" t="e">
        <f>AND('Data Extract File Ty'!B593,"AAAAAB/3uy0=")</f>
        <v>#VALUE!</v>
      </c>
      <c r="AU29" t="e">
        <f>AND('Data Extract File Ty'!C593,"AAAAAB/3uy4=")</f>
        <v>#VALUE!</v>
      </c>
      <c r="AV29" t="e">
        <f>AND('Data Extract File Ty'!D593,"AAAAAB/3uy8=")</f>
        <v>#VALUE!</v>
      </c>
      <c r="AW29">
        <f>IF('Data Extract File Ty'!594:594,"AAAAAB/3uzA=",0)</f>
        <v>0</v>
      </c>
      <c r="AX29" t="e">
        <f>AND('Data Extract File Ty'!A594,"AAAAAB/3uzE=")</f>
        <v>#VALUE!</v>
      </c>
      <c r="AY29" t="e">
        <f>AND('Data Extract File Ty'!B594,"AAAAAB/3uzI=")</f>
        <v>#VALUE!</v>
      </c>
      <c r="AZ29" t="e">
        <f>AND('Data Extract File Ty'!C594,"AAAAAB/3uzM=")</f>
        <v>#VALUE!</v>
      </c>
      <c r="BA29" t="e">
        <f>AND('Data Extract File Ty'!D594,"AAAAAB/3uzQ=")</f>
        <v>#VALUE!</v>
      </c>
      <c r="BB29">
        <f>IF('Data Extract File Ty'!595:595,"AAAAAB/3uzU=",0)</f>
        <v>0</v>
      </c>
      <c r="BC29" t="e">
        <f>AND('Data Extract File Ty'!A595,"AAAAAB/3uzY=")</f>
        <v>#VALUE!</v>
      </c>
      <c r="BD29" t="e">
        <f>AND('Data Extract File Ty'!B595,"AAAAAB/3uzc=")</f>
        <v>#VALUE!</v>
      </c>
      <c r="BE29" t="e">
        <f>AND('Data Extract File Ty'!C595,"AAAAAB/3uzg=")</f>
        <v>#VALUE!</v>
      </c>
      <c r="BF29" t="e">
        <f>AND('Data Extract File Ty'!D595,"AAAAAB/3uzk=")</f>
        <v>#VALUE!</v>
      </c>
      <c r="BG29">
        <f>IF('Data Extract File Ty'!596:596,"AAAAAB/3uzo=",0)</f>
        <v>0</v>
      </c>
      <c r="BH29" t="e">
        <f>AND('Data Extract File Ty'!A596,"AAAAAB/3uzs=")</f>
        <v>#VALUE!</v>
      </c>
      <c r="BI29" t="e">
        <f>AND('Data Extract File Ty'!B596,"AAAAAB/3uzw=")</f>
        <v>#VALUE!</v>
      </c>
      <c r="BJ29" t="e">
        <f>AND('Data Extract File Ty'!C596,"AAAAAB/3uz0=")</f>
        <v>#VALUE!</v>
      </c>
      <c r="BK29" t="e">
        <f>AND('Data Extract File Ty'!D596,"AAAAAB/3uz4=")</f>
        <v>#VALUE!</v>
      </c>
      <c r="BL29">
        <f>IF('Data Extract File Ty'!597:597,"AAAAAB/3uz8=",0)</f>
        <v>0</v>
      </c>
      <c r="BM29" t="e">
        <f>AND('Data Extract File Ty'!A597,"AAAAAB/3u0A=")</f>
        <v>#VALUE!</v>
      </c>
      <c r="BN29" t="e">
        <f>AND('Data Extract File Ty'!B597,"AAAAAB/3u0E=")</f>
        <v>#VALUE!</v>
      </c>
      <c r="BO29" t="e">
        <f>AND('Data Extract File Ty'!C597,"AAAAAB/3u0I=")</f>
        <v>#VALUE!</v>
      </c>
      <c r="BP29" t="e">
        <f>AND('Data Extract File Ty'!D597,"AAAAAB/3u0M=")</f>
        <v>#VALUE!</v>
      </c>
      <c r="BQ29">
        <f>IF('Data Extract File Ty'!598:598,"AAAAAB/3u0Q=",0)</f>
        <v>0</v>
      </c>
      <c r="BR29" t="e">
        <f>AND('Data Extract File Ty'!A598,"AAAAAB/3u0U=")</f>
        <v>#VALUE!</v>
      </c>
      <c r="BS29" t="e">
        <f>AND('Data Extract File Ty'!B598,"AAAAAB/3u0Y=")</f>
        <v>#VALUE!</v>
      </c>
      <c r="BT29" t="e">
        <f>AND('Data Extract File Ty'!C598,"AAAAAB/3u0c=")</f>
        <v>#VALUE!</v>
      </c>
      <c r="BU29" t="e">
        <f>AND('Data Extract File Ty'!D598,"AAAAAB/3u0g=")</f>
        <v>#VALUE!</v>
      </c>
      <c r="BV29">
        <f>IF('Data Extract File Ty'!599:599,"AAAAAB/3u0k=",0)</f>
        <v>0</v>
      </c>
      <c r="BW29" t="e">
        <f>AND('Data Extract File Ty'!A599,"AAAAAB/3u0o=")</f>
        <v>#VALUE!</v>
      </c>
      <c r="BX29" t="e">
        <f>AND('Data Extract File Ty'!B599,"AAAAAB/3u0s=")</f>
        <v>#VALUE!</v>
      </c>
      <c r="BY29" t="e">
        <f>AND('Data Extract File Ty'!C599,"AAAAAB/3u0w=")</f>
        <v>#VALUE!</v>
      </c>
      <c r="BZ29" t="e">
        <f>AND('Data Extract File Ty'!D599,"AAAAAB/3u00=")</f>
        <v>#VALUE!</v>
      </c>
      <c r="CA29">
        <f>IF('Data Extract File Ty'!600:600,"AAAAAB/3u04=",0)</f>
        <v>0</v>
      </c>
      <c r="CB29" t="e">
        <f>AND('Data Extract File Ty'!A600,"AAAAAB/3u08=")</f>
        <v>#VALUE!</v>
      </c>
      <c r="CC29" t="e">
        <f>AND('Data Extract File Ty'!B600,"AAAAAB/3u1A=")</f>
        <v>#VALUE!</v>
      </c>
      <c r="CD29" t="e">
        <f>AND('Data Extract File Ty'!C600,"AAAAAB/3u1E=")</f>
        <v>#VALUE!</v>
      </c>
      <c r="CE29" t="e">
        <f>AND('Data Extract File Ty'!D600,"AAAAAB/3u1I=")</f>
        <v>#VALUE!</v>
      </c>
      <c r="CF29">
        <f>IF('Data Extract File Ty'!601:601,"AAAAAB/3u1M=",0)</f>
        <v>0</v>
      </c>
      <c r="CG29" t="e">
        <f>AND('Data Extract File Ty'!A601,"AAAAAB/3u1Q=")</f>
        <v>#VALUE!</v>
      </c>
      <c r="CH29" t="e">
        <f>AND('Data Extract File Ty'!B601,"AAAAAB/3u1U=")</f>
        <v>#VALUE!</v>
      </c>
      <c r="CI29" t="e">
        <f>AND('Data Extract File Ty'!C601,"AAAAAB/3u1Y=")</f>
        <v>#VALUE!</v>
      </c>
      <c r="CJ29" t="e">
        <f>AND('Data Extract File Ty'!D601,"AAAAAB/3u1c=")</f>
        <v>#VALUE!</v>
      </c>
      <c r="CK29">
        <f>IF('Data Extract File Ty'!602:602,"AAAAAB/3u1g=",0)</f>
        <v>0</v>
      </c>
      <c r="CL29" t="e">
        <f>AND('Data Extract File Ty'!A602,"AAAAAB/3u1k=")</f>
        <v>#VALUE!</v>
      </c>
      <c r="CM29" t="e">
        <f>AND('Data Extract File Ty'!B602,"AAAAAB/3u1o=")</f>
        <v>#VALUE!</v>
      </c>
      <c r="CN29" t="e">
        <f>AND('Data Extract File Ty'!C602,"AAAAAB/3u1s=")</f>
        <v>#VALUE!</v>
      </c>
      <c r="CO29" t="e">
        <f>AND('Data Extract File Ty'!D602,"AAAAAB/3u1w=")</f>
        <v>#VALUE!</v>
      </c>
      <c r="CP29">
        <f>IF('Data Extract File Ty'!603:603,"AAAAAB/3u10=",0)</f>
        <v>0</v>
      </c>
      <c r="CQ29" t="e">
        <f>AND('Data Extract File Ty'!A603,"AAAAAB/3u14=")</f>
        <v>#VALUE!</v>
      </c>
      <c r="CR29" t="e">
        <f>AND('Data Extract File Ty'!B603,"AAAAAB/3u18=")</f>
        <v>#VALUE!</v>
      </c>
      <c r="CS29" t="e">
        <f>AND('Data Extract File Ty'!C603,"AAAAAB/3u2A=")</f>
        <v>#VALUE!</v>
      </c>
      <c r="CT29" t="e">
        <f>AND('Data Extract File Ty'!D603,"AAAAAB/3u2E=")</f>
        <v>#VALUE!</v>
      </c>
      <c r="CU29">
        <f>IF('Data Extract File Ty'!604:604,"AAAAAB/3u2I=",0)</f>
        <v>0</v>
      </c>
      <c r="CV29" t="e">
        <f>AND('Data Extract File Ty'!A604,"AAAAAB/3u2M=")</f>
        <v>#VALUE!</v>
      </c>
      <c r="CW29" t="e">
        <f>AND('Data Extract File Ty'!B604,"AAAAAB/3u2Q=")</f>
        <v>#VALUE!</v>
      </c>
      <c r="CX29" t="e">
        <f>AND('Data Extract File Ty'!C604,"AAAAAB/3u2U=")</f>
        <v>#VALUE!</v>
      </c>
      <c r="CY29" t="e">
        <f>AND('Data Extract File Ty'!D604,"AAAAAB/3u2Y=")</f>
        <v>#VALUE!</v>
      </c>
      <c r="CZ29">
        <f>IF('Data Extract File Ty'!605:605,"AAAAAB/3u2c=",0)</f>
        <v>0</v>
      </c>
      <c r="DA29" t="e">
        <f>AND('Data Extract File Ty'!A605,"AAAAAB/3u2g=")</f>
        <v>#VALUE!</v>
      </c>
      <c r="DB29" t="e">
        <f>AND('Data Extract File Ty'!B605,"AAAAAB/3u2k=")</f>
        <v>#VALUE!</v>
      </c>
      <c r="DC29" t="e">
        <f>AND('Data Extract File Ty'!C605,"AAAAAB/3u2o=")</f>
        <v>#VALUE!</v>
      </c>
      <c r="DD29" t="e">
        <f>AND('Data Extract File Ty'!D605,"AAAAAB/3u2s=")</f>
        <v>#VALUE!</v>
      </c>
      <c r="DE29">
        <f>IF('Data Extract File Ty'!606:606,"AAAAAB/3u2w=",0)</f>
        <v>0</v>
      </c>
      <c r="DF29" t="e">
        <f>AND('Data Extract File Ty'!A606,"AAAAAB/3u20=")</f>
        <v>#VALUE!</v>
      </c>
      <c r="DG29" t="e">
        <f>AND('Data Extract File Ty'!B606,"AAAAAB/3u24=")</f>
        <v>#VALUE!</v>
      </c>
      <c r="DH29" t="e">
        <f>AND('Data Extract File Ty'!C606,"AAAAAB/3u28=")</f>
        <v>#VALUE!</v>
      </c>
      <c r="DI29" t="e">
        <f>AND('Data Extract File Ty'!D606,"AAAAAB/3u3A=")</f>
        <v>#VALUE!</v>
      </c>
      <c r="DJ29">
        <f>IF('Data Extract File Ty'!607:607,"AAAAAB/3u3E=",0)</f>
        <v>0</v>
      </c>
      <c r="DK29" t="e">
        <f>AND('Data Extract File Ty'!A607,"AAAAAB/3u3I=")</f>
        <v>#VALUE!</v>
      </c>
      <c r="DL29" t="e">
        <f>AND('Data Extract File Ty'!B607,"AAAAAB/3u3M=")</f>
        <v>#VALUE!</v>
      </c>
      <c r="DM29" t="e">
        <f>AND('Data Extract File Ty'!C607,"AAAAAB/3u3Q=")</f>
        <v>#VALUE!</v>
      </c>
      <c r="DN29" t="e">
        <f>AND('Data Extract File Ty'!D607,"AAAAAB/3u3U=")</f>
        <v>#VALUE!</v>
      </c>
      <c r="DO29">
        <f>IF('Data Extract File Ty'!608:608,"AAAAAB/3u3Y=",0)</f>
        <v>0</v>
      </c>
      <c r="DP29" t="e">
        <f>AND('Data Extract File Ty'!A608,"AAAAAB/3u3c=")</f>
        <v>#VALUE!</v>
      </c>
      <c r="DQ29" t="e">
        <f>AND('Data Extract File Ty'!B608,"AAAAAB/3u3g=")</f>
        <v>#VALUE!</v>
      </c>
      <c r="DR29" t="e">
        <f>AND('Data Extract File Ty'!C608,"AAAAAB/3u3k=")</f>
        <v>#VALUE!</v>
      </c>
      <c r="DS29" t="e">
        <f>AND('Data Extract File Ty'!D608,"AAAAAB/3u3o=")</f>
        <v>#VALUE!</v>
      </c>
      <c r="DT29">
        <f>IF('Data Extract File Ty'!609:609,"AAAAAB/3u3s=",0)</f>
        <v>0</v>
      </c>
      <c r="DU29" t="e">
        <f>AND('Data Extract File Ty'!A609,"AAAAAB/3u3w=")</f>
        <v>#VALUE!</v>
      </c>
      <c r="DV29" t="e">
        <f>AND('Data Extract File Ty'!B609,"AAAAAB/3u30=")</f>
        <v>#VALUE!</v>
      </c>
      <c r="DW29" t="e">
        <f>AND('Data Extract File Ty'!C609,"AAAAAB/3u34=")</f>
        <v>#VALUE!</v>
      </c>
      <c r="DX29" t="e">
        <f>AND('Data Extract File Ty'!D609,"AAAAAB/3u38=")</f>
        <v>#VALUE!</v>
      </c>
      <c r="DY29">
        <f>IF('Data Extract File Ty'!610:610,"AAAAAB/3u4A=",0)</f>
        <v>0</v>
      </c>
      <c r="DZ29" t="e">
        <f>AND('Data Extract File Ty'!A610,"AAAAAB/3u4E=")</f>
        <v>#VALUE!</v>
      </c>
      <c r="EA29" t="e">
        <f>AND('Data Extract File Ty'!B610,"AAAAAB/3u4I=")</f>
        <v>#VALUE!</v>
      </c>
      <c r="EB29" t="e">
        <f>AND('Data Extract File Ty'!C610,"AAAAAB/3u4M=")</f>
        <v>#VALUE!</v>
      </c>
      <c r="EC29" t="e">
        <f>AND('Data Extract File Ty'!D610,"AAAAAB/3u4Q=")</f>
        <v>#VALUE!</v>
      </c>
      <c r="ED29">
        <f>IF('Data Extract File Ty'!611:611,"AAAAAB/3u4U=",0)</f>
        <v>0</v>
      </c>
      <c r="EE29" t="e">
        <f>AND('Data Extract File Ty'!A611,"AAAAAB/3u4Y=")</f>
        <v>#VALUE!</v>
      </c>
      <c r="EF29" t="e">
        <f>AND('Data Extract File Ty'!B611,"AAAAAB/3u4c=")</f>
        <v>#VALUE!</v>
      </c>
      <c r="EG29" t="e">
        <f>AND('Data Extract File Ty'!C611,"AAAAAB/3u4g=")</f>
        <v>#VALUE!</v>
      </c>
      <c r="EH29" t="e">
        <f>AND('Data Extract File Ty'!D611,"AAAAAB/3u4k=")</f>
        <v>#VALUE!</v>
      </c>
      <c r="EI29">
        <f>IF('Data Extract File Ty'!612:612,"AAAAAB/3u4o=",0)</f>
        <v>0</v>
      </c>
      <c r="EJ29" t="e">
        <f>AND('Data Extract File Ty'!A612,"AAAAAB/3u4s=")</f>
        <v>#VALUE!</v>
      </c>
      <c r="EK29" t="e">
        <f>AND('Data Extract File Ty'!B612,"AAAAAB/3u4w=")</f>
        <v>#VALUE!</v>
      </c>
      <c r="EL29" t="e">
        <f>AND('Data Extract File Ty'!C612,"AAAAAB/3u40=")</f>
        <v>#VALUE!</v>
      </c>
      <c r="EM29" t="e">
        <f>AND('Data Extract File Ty'!D612,"AAAAAB/3u44=")</f>
        <v>#VALUE!</v>
      </c>
      <c r="EN29">
        <f>IF('Data Extract File Ty'!613:613,"AAAAAB/3u48=",0)</f>
        <v>0</v>
      </c>
      <c r="EO29" t="e">
        <f>AND('Data Extract File Ty'!A613,"AAAAAB/3u5A=")</f>
        <v>#VALUE!</v>
      </c>
      <c r="EP29" t="e">
        <f>AND('Data Extract File Ty'!B613,"AAAAAB/3u5E=")</f>
        <v>#VALUE!</v>
      </c>
      <c r="EQ29" t="e">
        <f>AND('Data Extract File Ty'!C613,"AAAAAB/3u5I=")</f>
        <v>#VALUE!</v>
      </c>
      <c r="ER29" t="e">
        <f>AND('Data Extract File Ty'!D613,"AAAAAB/3u5M=")</f>
        <v>#VALUE!</v>
      </c>
      <c r="ES29">
        <f>IF('Data Extract File Ty'!614:614,"AAAAAB/3u5Q=",0)</f>
        <v>0</v>
      </c>
      <c r="ET29" t="e">
        <f>AND('Data Extract File Ty'!A614,"AAAAAB/3u5U=")</f>
        <v>#VALUE!</v>
      </c>
      <c r="EU29" t="e">
        <f>AND('Data Extract File Ty'!B614,"AAAAAB/3u5Y=")</f>
        <v>#VALUE!</v>
      </c>
      <c r="EV29" t="e">
        <f>AND('Data Extract File Ty'!C614,"AAAAAB/3u5c=")</f>
        <v>#VALUE!</v>
      </c>
      <c r="EW29" t="e">
        <f>AND('Data Extract File Ty'!D614,"AAAAAB/3u5g=")</f>
        <v>#VALUE!</v>
      </c>
      <c r="EX29">
        <f>IF('Data Extract File Ty'!615:615,"AAAAAB/3u5k=",0)</f>
        <v>0</v>
      </c>
      <c r="EY29" t="e">
        <f>AND('Data Extract File Ty'!A615,"AAAAAB/3u5o=")</f>
        <v>#VALUE!</v>
      </c>
      <c r="EZ29" t="e">
        <f>AND('Data Extract File Ty'!B615,"AAAAAB/3u5s=")</f>
        <v>#VALUE!</v>
      </c>
      <c r="FA29" t="e">
        <f>AND('Data Extract File Ty'!C615,"AAAAAB/3u5w=")</f>
        <v>#VALUE!</v>
      </c>
      <c r="FB29" t="e">
        <f>AND('Data Extract File Ty'!D615,"AAAAAB/3u50=")</f>
        <v>#VALUE!</v>
      </c>
      <c r="FC29">
        <f>IF('Data Extract File Ty'!616:616,"AAAAAB/3u54=",0)</f>
        <v>0</v>
      </c>
      <c r="FD29" t="e">
        <f>AND('Data Extract File Ty'!A616,"AAAAAB/3u58=")</f>
        <v>#VALUE!</v>
      </c>
      <c r="FE29" t="e">
        <f>AND('Data Extract File Ty'!B616,"AAAAAB/3u6A=")</f>
        <v>#VALUE!</v>
      </c>
      <c r="FF29" t="e">
        <f>AND('Data Extract File Ty'!C616,"AAAAAB/3u6E=")</f>
        <v>#VALUE!</v>
      </c>
      <c r="FG29" t="e">
        <f>AND('Data Extract File Ty'!D616,"AAAAAB/3u6I=")</f>
        <v>#VALUE!</v>
      </c>
      <c r="FH29">
        <f>IF('Data Extract File Ty'!617:617,"AAAAAB/3u6M=",0)</f>
        <v>0</v>
      </c>
      <c r="FI29" t="e">
        <f>AND('Data Extract File Ty'!A617,"AAAAAB/3u6Q=")</f>
        <v>#VALUE!</v>
      </c>
      <c r="FJ29" t="e">
        <f>AND('Data Extract File Ty'!B617,"AAAAAB/3u6U=")</f>
        <v>#VALUE!</v>
      </c>
      <c r="FK29" t="e">
        <f>AND('Data Extract File Ty'!C617,"AAAAAB/3u6Y=")</f>
        <v>#VALUE!</v>
      </c>
      <c r="FL29" t="e">
        <f>AND('Data Extract File Ty'!D617,"AAAAAB/3u6c=")</f>
        <v>#VALUE!</v>
      </c>
      <c r="FM29">
        <f>IF('Data Extract File Ty'!618:618,"AAAAAB/3u6g=",0)</f>
        <v>0</v>
      </c>
      <c r="FN29" t="e">
        <f>AND('Data Extract File Ty'!A618,"AAAAAB/3u6k=")</f>
        <v>#VALUE!</v>
      </c>
      <c r="FO29" t="e">
        <f>AND('Data Extract File Ty'!B618,"AAAAAB/3u6o=")</f>
        <v>#VALUE!</v>
      </c>
      <c r="FP29" t="e">
        <f>AND('Data Extract File Ty'!C618,"AAAAAB/3u6s=")</f>
        <v>#VALUE!</v>
      </c>
      <c r="FQ29" t="e">
        <f>AND('Data Extract File Ty'!D618,"AAAAAB/3u6w=")</f>
        <v>#VALUE!</v>
      </c>
      <c r="FR29">
        <f>IF('Data Extract File Ty'!619:619,"AAAAAB/3u60=",0)</f>
        <v>0</v>
      </c>
      <c r="FS29" t="e">
        <f>AND('Data Extract File Ty'!A619,"AAAAAB/3u64=")</f>
        <v>#VALUE!</v>
      </c>
      <c r="FT29" t="e">
        <f>AND('Data Extract File Ty'!B619,"AAAAAB/3u68=")</f>
        <v>#VALUE!</v>
      </c>
      <c r="FU29" t="e">
        <f>AND('Data Extract File Ty'!C619,"AAAAAB/3u7A=")</f>
        <v>#VALUE!</v>
      </c>
      <c r="FV29" t="e">
        <f>AND('Data Extract File Ty'!D619,"AAAAAB/3u7E=")</f>
        <v>#VALUE!</v>
      </c>
      <c r="FW29">
        <f>IF('Data Extract File Ty'!620:620,"AAAAAB/3u7I=",0)</f>
        <v>0</v>
      </c>
      <c r="FX29" t="e">
        <f>AND('Data Extract File Ty'!A620,"AAAAAB/3u7M=")</f>
        <v>#VALUE!</v>
      </c>
      <c r="FY29" t="e">
        <f>AND('Data Extract File Ty'!B620,"AAAAAB/3u7Q=")</f>
        <v>#VALUE!</v>
      </c>
      <c r="FZ29" t="e">
        <f>AND('Data Extract File Ty'!C620,"AAAAAB/3u7U=")</f>
        <v>#VALUE!</v>
      </c>
      <c r="GA29" t="e">
        <f>AND('Data Extract File Ty'!D620,"AAAAAB/3u7Y=")</f>
        <v>#VALUE!</v>
      </c>
      <c r="GB29">
        <f>IF('Data Extract File Ty'!621:621,"AAAAAB/3u7c=",0)</f>
        <v>0</v>
      </c>
      <c r="GC29" t="e">
        <f>AND('Data Extract File Ty'!A621,"AAAAAB/3u7g=")</f>
        <v>#VALUE!</v>
      </c>
      <c r="GD29" t="e">
        <f>AND('Data Extract File Ty'!B621,"AAAAAB/3u7k=")</f>
        <v>#VALUE!</v>
      </c>
      <c r="GE29" t="e">
        <f>AND('Data Extract File Ty'!C621,"AAAAAB/3u7o=")</f>
        <v>#VALUE!</v>
      </c>
      <c r="GF29" t="e">
        <f>AND('Data Extract File Ty'!D621,"AAAAAB/3u7s=")</f>
        <v>#VALUE!</v>
      </c>
      <c r="GG29">
        <f>IF('Data Extract File Ty'!622:622,"AAAAAB/3u7w=",0)</f>
        <v>0</v>
      </c>
      <c r="GH29" t="e">
        <f>AND('Data Extract File Ty'!A622,"AAAAAB/3u70=")</f>
        <v>#VALUE!</v>
      </c>
      <c r="GI29" t="e">
        <f>AND('Data Extract File Ty'!B622,"AAAAAB/3u74=")</f>
        <v>#VALUE!</v>
      </c>
      <c r="GJ29" t="e">
        <f>AND('Data Extract File Ty'!C622,"AAAAAB/3u78=")</f>
        <v>#VALUE!</v>
      </c>
      <c r="GK29" t="e">
        <f>AND('Data Extract File Ty'!D622,"AAAAAB/3u8A=")</f>
        <v>#VALUE!</v>
      </c>
      <c r="GL29">
        <f>IF('Data Extract File Ty'!623:623,"AAAAAB/3u8E=",0)</f>
        <v>0</v>
      </c>
      <c r="GM29" t="e">
        <f>AND('Data Extract File Ty'!A623,"AAAAAB/3u8I=")</f>
        <v>#VALUE!</v>
      </c>
      <c r="GN29" t="e">
        <f>AND('Data Extract File Ty'!B623,"AAAAAB/3u8M=")</f>
        <v>#VALUE!</v>
      </c>
      <c r="GO29" t="e">
        <f>AND('Data Extract File Ty'!C623,"AAAAAB/3u8Q=")</f>
        <v>#VALUE!</v>
      </c>
      <c r="GP29" t="e">
        <f>AND('Data Extract File Ty'!D623,"AAAAAB/3u8U=")</f>
        <v>#VALUE!</v>
      </c>
      <c r="GQ29">
        <f>IF('Data Extract File Ty'!624:624,"AAAAAB/3u8Y=",0)</f>
        <v>0</v>
      </c>
      <c r="GR29" t="e">
        <f>AND('Data Extract File Ty'!A624,"AAAAAB/3u8c=")</f>
        <v>#VALUE!</v>
      </c>
      <c r="GS29" t="e">
        <f>AND('Data Extract File Ty'!B624,"AAAAAB/3u8g=")</f>
        <v>#VALUE!</v>
      </c>
      <c r="GT29" t="e">
        <f>AND('Data Extract File Ty'!C624,"AAAAAB/3u8k=")</f>
        <v>#VALUE!</v>
      </c>
      <c r="GU29" t="e">
        <f>AND('Data Extract File Ty'!D624,"AAAAAB/3u8o=")</f>
        <v>#VALUE!</v>
      </c>
      <c r="GV29">
        <f>IF('Data Extract File Ty'!625:625,"AAAAAB/3u8s=",0)</f>
        <v>0</v>
      </c>
      <c r="GW29" t="e">
        <f>AND('Data Extract File Ty'!A625,"AAAAAB/3u8w=")</f>
        <v>#VALUE!</v>
      </c>
      <c r="GX29" t="e">
        <f>AND('Data Extract File Ty'!B625,"AAAAAB/3u80=")</f>
        <v>#VALUE!</v>
      </c>
      <c r="GY29" t="e">
        <f>AND('Data Extract File Ty'!C625,"AAAAAB/3u84=")</f>
        <v>#VALUE!</v>
      </c>
      <c r="GZ29" t="e">
        <f>AND('Data Extract File Ty'!D625,"AAAAAB/3u88=")</f>
        <v>#VALUE!</v>
      </c>
      <c r="HA29">
        <f>IF('Data Extract File Ty'!626:626,"AAAAAB/3u9A=",0)</f>
        <v>0</v>
      </c>
      <c r="HB29" t="e">
        <f>AND('Data Extract File Ty'!A626,"AAAAAB/3u9E=")</f>
        <v>#VALUE!</v>
      </c>
      <c r="HC29" t="e">
        <f>AND('Data Extract File Ty'!B626,"AAAAAB/3u9I=")</f>
        <v>#VALUE!</v>
      </c>
      <c r="HD29" t="e">
        <f>AND('Data Extract File Ty'!C626,"AAAAAB/3u9M=")</f>
        <v>#VALUE!</v>
      </c>
      <c r="HE29" t="e">
        <f>AND('Data Extract File Ty'!D626,"AAAAAB/3u9Q=")</f>
        <v>#VALUE!</v>
      </c>
      <c r="HF29">
        <f>IF('Data Extract File Ty'!627:627,"AAAAAB/3u9U=",0)</f>
        <v>0</v>
      </c>
      <c r="HG29" t="e">
        <f>AND('Data Extract File Ty'!A627,"AAAAAB/3u9Y=")</f>
        <v>#VALUE!</v>
      </c>
      <c r="HH29" t="e">
        <f>AND('Data Extract File Ty'!B627,"AAAAAB/3u9c=")</f>
        <v>#VALUE!</v>
      </c>
      <c r="HI29" t="e">
        <f>AND('Data Extract File Ty'!C627,"AAAAAB/3u9g=")</f>
        <v>#VALUE!</v>
      </c>
      <c r="HJ29" t="e">
        <f>AND('Data Extract File Ty'!D627,"AAAAAB/3u9k=")</f>
        <v>#VALUE!</v>
      </c>
      <c r="HK29">
        <f>IF('Data Extract File Ty'!628:628,"AAAAAB/3u9o=",0)</f>
        <v>0</v>
      </c>
      <c r="HL29" t="e">
        <f>AND('Data Extract File Ty'!A628,"AAAAAB/3u9s=")</f>
        <v>#VALUE!</v>
      </c>
      <c r="HM29" t="e">
        <f>AND('Data Extract File Ty'!B628,"AAAAAB/3u9w=")</f>
        <v>#VALUE!</v>
      </c>
      <c r="HN29" t="e">
        <f>AND('Data Extract File Ty'!C628,"AAAAAB/3u90=")</f>
        <v>#VALUE!</v>
      </c>
      <c r="HO29" t="e">
        <f>AND('Data Extract File Ty'!D628,"AAAAAB/3u94=")</f>
        <v>#VALUE!</v>
      </c>
      <c r="HP29">
        <f>IF('Data Extract File Ty'!629:629,"AAAAAB/3u98=",0)</f>
        <v>0</v>
      </c>
      <c r="HQ29" t="e">
        <f>AND('Data Extract File Ty'!A629,"AAAAAB/3u+A=")</f>
        <v>#VALUE!</v>
      </c>
      <c r="HR29" t="e">
        <f>AND('Data Extract File Ty'!B629,"AAAAAB/3u+E=")</f>
        <v>#VALUE!</v>
      </c>
      <c r="HS29" t="e">
        <f>AND('Data Extract File Ty'!C629,"AAAAAB/3u+I=")</f>
        <v>#VALUE!</v>
      </c>
      <c r="HT29" t="e">
        <f>AND('Data Extract File Ty'!D629,"AAAAAB/3u+M=")</f>
        <v>#VALUE!</v>
      </c>
      <c r="HU29">
        <f>IF('Data Extract File Ty'!630:630,"AAAAAB/3u+Q=",0)</f>
        <v>0</v>
      </c>
      <c r="HV29" t="e">
        <f>AND('Data Extract File Ty'!A630,"AAAAAB/3u+U=")</f>
        <v>#VALUE!</v>
      </c>
      <c r="HW29" t="e">
        <f>AND('Data Extract File Ty'!B630,"AAAAAB/3u+Y=")</f>
        <v>#VALUE!</v>
      </c>
      <c r="HX29" t="e">
        <f>AND('Data Extract File Ty'!C630,"AAAAAB/3u+c=")</f>
        <v>#VALUE!</v>
      </c>
      <c r="HY29" t="e">
        <f>AND('Data Extract File Ty'!D630,"AAAAAB/3u+g=")</f>
        <v>#VALUE!</v>
      </c>
      <c r="HZ29">
        <f>IF('Data Extract File Ty'!631:631,"AAAAAB/3u+k=",0)</f>
        <v>0</v>
      </c>
      <c r="IA29" t="e">
        <f>AND('Data Extract File Ty'!A631,"AAAAAB/3u+o=")</f>
        <v>#VALUE!</v>
      </c>
      <c r="IB29" t="e">
        <f>AND('Data Extract File Ty'!B631,"AAAAAB/3u+s=")</f>
        <v>#VALUE!</v>
      </c>
      <c r="IC29" t="e">
        <f>AND('Data Extract File Ty'!C631,"AAAAAB/3u+w=")</f>
        <v>#VALUE!</v>
      </c>
      <c r="ID29" t="e">
        <f>AND('Data Extract File Ty'!D631,"AAAAAB/3u+0=")</f>
        <v>#VALUE!</v>
      </c>
      <c r="IE29">
        <f>IF('Data Extract File Ty'!632:632,"AAAAAB/3u+4=",0)</f>
        <v>0</v>
      </c>
      <c r="IF29" t="e">
        <f>AND('Data Extract File Ty'!A632,"AAAAAB/3u+8=")</f>
        <v>#VALUE!</v>
      </c>
      <c r="IG29" t="e">
        <f>AND('Data Extract File Ty'!B632,"AAAAAB/3u/A=")</f>
        <v>#VALUE!</v>
      </c>
      <c r="IH29" t="e">
        <f>AND('Data Extract File Ty'!C632,"AAAAAB/3u/E=")</f>
        <v>#VALUE!</v>
      </c>
      <c r="II29" t="e">
        <f>AND('Data Extract File Ty'!D632,"AAAAAB/3u/I=")</f>
        <v>#VALUE!</v>
      </c>
      <c r="IJ29">
        <f>IF('Data Extract File Ty'!633:633,"AAAAAB/3u/M=",0)</f>
        <v>0</v>
      </c>
      <c r="IK29" t="e">
        <f>AND('Data Extract File Ty'!A633,"AAAAAB/3u/Q=")</f>
        <v>#VALUE!</v>
      </c>
      <c r="IL29" t="e">
        <f>AND('Data Extract File Ty'!B633,"AAAAAB/3u/U=")</f>
        <v>#VALUE!</v>
      </c>
      <c r="IM29" t="e">
        <f>AND('Data Extract File Ty'!C633,"AAAAAB/3u/Y=")</f>
        <v>#VALUE!</v>
      </c>
      <c r="IN29" t="e">
        <f>AND('Data Extract File Ty'!D633,"AAAAAB/3u/c=")</f>
        <v>#VALUE!</v>
      </c>
      <c r="IO29">
        <f>IF('Data Extract File Ty'!634:634,"AAAAAB/3u/g=",0)</f>
        <v>0</v>
      </c>
      <c r="IP29" t="e">
        <f>AND('Data Extract File Ty'!A634,"AAAAAB/3u/k=")</f>
        <v>#VALUE!</v>
      </c>
      <c r="IQ29" t="e">
        <f>AND('Data Extract File Ty'!B634,"AAAAAB/3u/o=")</f>
        <v>#VALUE!</v>
      </c>
      <c r="IR29" t="e">
        <f>AND('Data Extract File Ty'!C634,"AAAAAB/3u/s=")</f>
        <v>#VALUE!</v>
      </c>
      <c r="IS29" t="e">
        <f>AND('Data Extract File Ty'!D634,"AAAAAB/3u/w=")</f>
        <v>#VALUE!</v>
      </c>
      <c r="IT29">
        <f>IF('Data Extract File Ty'!635:635,"AAAAAB/3u/0=",0)</f>
        <v>0</v>
      </c>
      <c r="IU29" t="e">
        <f>AND('Data Extract File Ty'!A635,"AAAAAB/3u/4=")</f>
        <v>#VALUE!</v>
      </c>
      <c r="IV29" t="e">
        <f>AND('Data Extract File Ty'!B635,"AAAAAB/3u/8=")</f>
        <v>#VALUE!</v>
      </c>
    </row>
    <row r="30" spans="1:256" x14ac:dyDescent="0.2">
      <c r="A30" t="e">
        <f>AND('Data Extract File Ty'!C635,"AAAAADtv3gA=")</f>
        <v>#VALUE!</v>
      </c>
      <c r="B30" t="e">
        <f>AND('Data Extract File Ty'!D635,"AAAAADtv3gE=")</f>
        <v>#VALUE!</v>
      </c>
      <c r="C30" t="e">
        <f>IF('Data Extract File Ty'!636:636,"AAAAADtv3gI=",0)</f>
        <v>#VALUE!</v>
      </c>
      <c r="D30" t="e">
        <f>AND('Data Extract File Ty'!A636,"AAAAADtv3gM=")</f>
        <v>#VALUE!</v>
      </c>
      <c r="E30" t="e">
        <f>AND('Data Extract File Ty'!B636,"AAAAADtv3gQ=")</f>
        <v>#VALUE!</v>
      </c>
      <c r="F30" t="e">
        <f>AND('Data Extract File Ty'!C636,"AAAAADtv3gU=")</f>
        <v>#VALUE!</v>
      </c>
      <c r="G30" t="e">
        <f>AND('Data Extract File Ty'!D636,"AAAAADtv3gY=")</f>
        <v>#VALUE!</v>
      </c>
      <c r="H30">
        <f>IF('Data Extract File Ty'!637:637,"AAAAADtv3gc=",0)</f>
        <v>0</v>
      </c>
      <c r="I30" t="e">
        <f>AND('Data Extract File Ty'!A637,"AAAAADtv3gg=")</f>
        <v>#VALUE!</v>
      </c>
      <c r="J30" t="e">
        <f>AND('Data Extract File Ty'!B637,"AAAAADtv3gk=")</f>
        <v>#VALUE!</v>
      </c>
      <c r="K30" t="e">
        <f>AND('Data Extract File Ty'!C637,"AAAAADtv3go=")</f>
        <v>#VALUE!</v>
      </c>
      <c r="L30" t="e">
        <f>AND('Data Extract File Ty'!D637,"AAAAADtv3gs=")</f>
        <v>#VALUE!</v>
      </c>
      <c r="M30">
        <f>IF('Data Extract File Ty'!638:638,"AAAAADtv3gw=",0)</f>
        <v>0</v>
      </c>
      <c r="N30" t="e">
        <f>AND('Data Extract File Ty'!A638,"AAAAADtv3g0=")</f>
        <v>#VALUE!</v>
      </c>
      <c r="O30" t="e">
        <f>AND('Data Extract File Ty'!B638,"AAAAADtv3g4=")</f>
        <v>#VALUE!</v>
      </c>
      <c r="P30" t="e">
        <f>AND('Data Extract File Ty'!C638,"AAAAADtv3g8=")</f>
        <v>#VALUE!</v>
      </c>
      <c r="Q30" t="e">
        <f>AND('Data Extract File Ty'!D638,"AAAAADtv3hA=")</f>
        <v>#VALUE!</v>
      </c>
      <c r="R30">
        <f>IF('Data Extract File Ty'!639:639,"AAAAADtv3hE=",0)</f>
        <v>0</v>
      </c>
      <c r="S30" t="e">
        <f>AND('Data Extract File Ty'!A639,"AAAAADtv3hI=")</f>
        <v>#VALUE!</v>
      </c>
      <c r="T30" t="e">
        <f>AND('Data Extract File Ty'!B639,"AAAAADtv3hM=")</f>
        <v>#VALUE!</v>
      </c>
      <c r="U30" t="e">
        <f>AND('Data Extract File Ty'!C639,"AAAAADtv3hQ=")</f>
        <v>#VALUE!</v>
      </c>
      <c r="V30" t="e">
        <f>AND('Data Extract File Ty'!D639,"AAAAADtv3hU=")</f>
        <v>#VALUE!</v>
      </c>
      <c r="W30">
        <f>IF('Data Extract File Ty'!640:640,"AAAAADtv3hY=",0)</f>
        <v>0</v>
      </c>
      <c r="X30" t="e">
        <f>AND('Data Extract File Ty'!A640,"AAAAADtv3hc=")</f>
        <v>#VALUE!</v>
      </c>
      <c r="Y30" t="e">
        <f>AND('Data Extract File Ty'!B640,"AAAAADtv3hg=")</f>
        <v>#VALUE!</v>
      </c>
      <c r="Z30" t="e">
        <f>AND('Data Extract File Ty'!C640,"AAAAADtv3hk=")</f>
        <v>#VALUE!</v>
      </c>
      <c r="AA30" t="e">
        <f>AND('Data Extract File Ty'!D640,"AAAAADtv3ho=")</f>
        <v>#VALUE!</v>
      </c>
      <c r="AB30">
        <f>IF('Data Extract File Ty'!641:641,"AAAAADtv3hs=",0)</f>
        <v>0</v>
      </c>
      <c r="AC30" t="e">
        <f>AND('Data Extract File Ty'!A641,"AAAAADtv3hw=")</f>
        <v>#VALUE!</v>
      </c>
      <c r="AD30" t="e">
        <f>AND('Data Extract File Ty'!B641,"AAAAADtv3h0=")</f>
        <v>#VALUE!</v>
      </c>
      <c r="AE30" t="e">
        <f>AND('Data Extract File Ty'!C641,"AAAAADtv3h4=")</f>
        <v>#VALUE!</v>
      </c>
      <c r="AF30" t="e">
        <f>AND('Data Extract File Ty'!D641,"AAAAADtv3h8=")</f>
        <v>#VALUE!</v>
      </c>
      <c r="AG30">
        <f>IF('Data Extract File Ty'!642:642,"AAAAADtv3iA=",0)</f>
        <v>0</v>
      </c>
      <c r="AH30" t="e">
        <f>AND('Data Extract File Ty'!A642,"AAAAADtv3iE=")</f>
        <v>#VALUE!</v>
      </c>
      <c r="AI30" t="e">
        <f>AND('Data Extract File Ty'!B642,"AAAAADtv3iI=")</f>
        <v>#VALUE!</v>
      </c>
      <c r="AJ30" t="e">
        <f>AND('Data Extract File Ty'!C642,"AAAAADtv3iM=")</f>
        <v>#VALUE!</v>
      </c>
      <c r="AK30" t="e">
        <f>AND('Data Extract File Ty'!D642,"AAAAADtv3iQ=")</f>
        <v>#VALUE!</v>
      </c>
      <c r="AL30">
        <f>IF('Data Extract File Ty'!643:643,"AAAAADtv3iU=",0)</f>
        <v>0</v>
      </c>
      <c r="AM30" t="e">
        <f>AND('Data Extract File Ty'!A643,"AAAAADtv3iY=")</f>
        <v>#VALUE!</v>
      </c>
      <c r="AN30" t="e">
        <f>AND('Data Extract File Ty'!B643,"AAAAADtv3ic=")</f>
        <v>#VALUE!</v>
      </c>
      <c r="AO30" t="e">
        <f>AND('Data Extract File Ty'!C643,"AAAAADtv3ig=")</f>
        <v>#VALUE!</v>
      </c>
      <c r="AP30" t="e">
        <f>AND('Data Extract File Ty'!D643,"AAAAADtv3ik=")</f>
        <v>#VALUE!</v>
      </c>
      <c r="AQ30">
        <f>IF('Data Extract File Ty'!644:644,"AAAAADtv3io=",0)</f>
        <v>0</v>
      </c>
      <c r="AR30" t="e">
        <f>AND('Data Extract File Ty'!A644,"AAAAADtv3is=")</f>
        <v>#VALUE!</v>
      </c>
      <c r="AS30" t="e">
        <f>AND('Data Extract File Ty'!B644,"AAAAADtv3iw=")</f>
        <v>#VALUE!</v>
      </c>
      <c r="AT30" t="e">
        <f>AND('Data Extract File Ty'!C644,"AAAAADtv3i0=")</f>
        <v>#VALUE!</v>
      </c>
      <c r="AU30" t="e">
        <f>AND('Data Extract File Ty'!D644,"AAAAADtv3i4=")</f>
        <v>#VALUE!</v>
      </c>
      <c r="AV30">
        <f>IF('Data Extract File Ty'!645:645,"AAAAADtv3i8=",0)</f>
        <v>0</v>
      </c>
      <c r="AW30" t="e">
        <f>AND('Data Extract File Ty'!A645,"AAAAADtv3jA=")</f>
        <v>#VALUE!</v>
      </c>
      <c r="AX30" t="e">
        <f>AND('Data Extract File Ty'!B645,"AAAAADtv3jE=")</f>
        <v>#VALUE!</v>
      </c>
      <c r="AY30" t="e">
        <f>AND('Data Extract File Ty'!C645,"AAAAADtv3jI=")</f>
        <v>#VALUE!</v>
      </c>
      <c r="AZ30" t="e">
        <f>AND('Data Extract File Ty'!D645,"AAAAADtv3jM=")</f>
        <v>#VALUE!</v>
      </c>
      <c r="BA30">
        <f>IF('Data Extract File Ty'!646:646,"AAAAADtv3jQ=",0)</f>
        <v>0</v>
      </c>
      <c r="BB30" t="e">
        <f>AND('Data Extract File Ty'!A646,"AAAAADtv3jU=")</f>
        <v>#VALUE!</v>
      </c>
      <c r="BC30" t="e">
        <f>AND('Data Extract File Ty'!B646,"AAAAADtv3jY=")</f>
        <v>#VALUE!</v>
      </c>
      <c r="BD30" t="e">
        <f>AND('Data Extract File Ty'!C646,"AAAAADtv3jc=")</f>
        <v>#VALUE!</v>
      </c>
      <c r="BE30" t="e">
        <f>AND('Data Extract File Ty'!D646,"AAAAADtv3jg=")</f>
        <v>#VALUE!</v>
      </c>
      <c r="BF30">
        <f>IF('Data Extract File Ty'!647:647,"AAAAADtv3jk=",0)</f>
        <v>0</v>
      </c>
      <c r="BG30" t="e">
        <f>AND('Data Extract File Ty'!A647,"AAAAADtv3jo=")</f>
        <v>#VALUE!</v>
      </c>
      <c r="BH30" t="e">
        <f>AND('Data Extract File Ty'!B647,"AAAAADtv3js=")</f>
        <v>#VALUE!</v>
      </c>
      <c r="BI30" t="e">
        <f>AND('Data Extract File Ty'!C647,"AAAAADtv3jw=")</f>
        <v>#VALUE!</v>
      </c>
      <c r="BJ30" t="e">
        <f>AND('Data Extract File Ty'!D647,"AAAAADtv3j0=")</f>
        <v>#VALUE!</v>
      </c>
      <c r="BK30">
        <f>IF('Data Extract File Ty'!648:648,"AAAAADtv3j4=",0)</f>
        <v>0</v>
      </c>
      <c r="BL30" t="e">
        <f>AND('Data Extract File Ty'!A648,"AAAAADtv3j8=")</f>
        <v>#VALUE!</v>
      </c>
      <c r="BM30" t="e">
        <f>AND('Data Extract File Ty'!B648,"AAAAADtv3kA=")</f>
        <v>#VALUE!</v>
      </c>
      <c r="BN30" t="e">
        <f>AND('Data Extract File Ty'!C648,"AAAAADtv3kE=")</f>
        <v>#VALUE!</v>
      </c>
      <c r="BO30" t="e">
        <f>AND('Data Extract File Ty'!D648,"AAAAADtv3kI=")</f>
        <v>#VALUE!</v>
      </c>
      <c r="BP30">
        <f>IF('Data Extract File Ty'!649:649,"AAAAADtv3kM=",0)</f>
        <v>0</v>
      </c>
      <c r="BQ30" t="e">
        <f>AND('Data Extract File Ty'!A649,"AAAAADtv3kQ=")</f>
        <v>#VALUE!</v>
      </c>
      <c r="BR30" t="e">
        <f>AND('Data Extract File Ty'!B649,"AAAAADtv3kU=")</f>
        <v>#VALUE!</v>
      </c>
      <c r="BS30" t="e">
        <f>AND('Data Extract File Ty'!C649,"AAAAADtv3kY=")</f>
        <v>#VALUE!</v>
      </c>
      <c r="BT30" t="e">
        <f>AND('Data Extract File Ty'!D649,"AAAAADtv3kc=")</f>
        <v>#VALUE!</v>
      </c>
      <c r="BU30">
        <f>IF('Data Extract File Ty'!650:650,"AAAAADtv3kg=",0)</f>
        <v>0</v>
      </c>
      <c r="BV30" t="e">
        <f>AND('Data Extract File Ty'!A650,"AAAAADtv3kk=")</f>
        <v>#VALUE!</v>
      </c>
      <c r="BW30" t="e">
        <f>AND('Data Extract File Ty'!B650,"AAAAADtv3ko=")</f>
        <v>#VALUE!</v>
      </c>
      <c r="BX30" t="e">
        <f>AND('Data Extract File Ty'!C650,"AAAAADtv3ks=")</f>
        <v>#VALUE!</v>
      </c>
      <c r="BY30" t="e">
        <f>AND('Data Extract File Ty'!D650,"AAAAADtv3kw=")</f>
        <v>#VALUE!</v>
      </c>
      <c r="BZ30">
        <f>IF('Data Extract File Ty'!651:651,"AAAAADtv3k0=",0)</f>
        <v>0</v>
      </c>
      <c r="CA30" t="e">
        <f>AND('Data Extract File Ty'!A651,"AAAAADtv3k4=")</f>
        <v>#VALUE!</v>
      </c>
      <c r="CB30" t="e">
        <f>AND('Data Extract File Ty'!B651,"AAAAADtv3k8=")</f>
        <v>#VALUE!</v>
      </c>
      <c r="CC30" t="e">
        <f>AND('Data Extract File Ty'!C651,"AAAAADtv3lA=")</f>
        <v>#VALUE!</v>
      </c>
      <c r="CD30" t="e">
        <f>AND('Data Extract File Ty'!D651,"AAAAADtv3lE=")</f>
        <v>#VALUE!</v>
      </c>
      <c r="CE30">
        <f>IF('Data Extract File Ty'!652:652,"AAAAADtv3lI=",0)</f>
        <v>0</v>
      </c>
      <c r="CF30" t="e">
        <f>AND('Data Extract File Ty'!A652,"AAAAADtv3lM=")</f>
        <v>#VALUE!</v>
      </c>
      <c r="CG30" t="e">
        <f>AND('Data Extract File Ty'!B652,"AAAAADtv3lQ=")</f>
        <v>#VALUE!</v>
      </c>
      <c r="CH30" t="e">
        <f>AND('Data Extract File Ty'!C652,"AAAAADtv3lU=")</f>
        <v>#VALUE!</v>
      </c>
      <c r="CI30" t="e">
        <f>AND('Data Extract File Ty'!D652,"AAAAADtv3lY=")</f>
        <v>#VALUE!</v>
      </c>
      <c r="CJ30">
        <f>IF('Data Extract File Ty'!653:653,"AAAAADtv3lc=",0)</f>
        <v>0</v>
      </c>
      <c r="CK30" t="e">
        <f>AND('Data Extract File Ty'!A653,"AAAAADtv3lg=")</f>
        <v>#VALUE!</v>
      </c>
      <c r="CL30" t="e">
        <f>AND('Data Extract File Ty'!B653,"AAAAADtv3lk=")</f>
        <v>#VALUE!</v>
      </c>
      <c r="CM30" t="e">
        <f>AND('Data Extract File Ty'!C653,"AAAAADtv3lo=")</f>
        <v>#VALUE!</v>
      </c>
      <c r="CN30" t="e">
        <f>AND('Data Extract File Ty'!D653,"AAAAADtv3ls=")</f>
        <v>#VALUE!</v>
      </c>
      <c r="CO30">
        <f>IF('Data Extract File Ty'!654:654,"AAAAADtv3lw=",0)</f>
        <v>0</v>
      </c>
      <c r="CP30" t="e">
        <f>AND('Data Extract File Ty'!A654,"AAAAADtv3l0=")</f>
        <v>#VALUE!</v>
      </c>
      <c r="CQ30" t="e">
        <f>AND('Data Extract File Ty'!B654,"AAAAADtv3l4=")</f>
        <v>#VALUE!</v>
      </c>
      <c r="CR30" t="e">
        <f>AND('Data Extract File Ty'!C654,"AAAAADtv3l8=")</f>
        <v>#VALUE!</v>
      </c>
      <c r="CS30" t="e">
        <f>AND('Data Extract File Ty'!D654,"AAAAADtv3mA=")</f>
        <v>#VALUE!</v>
      </c>
      <c r="CT30">
        <f>IF('Data Extract File Ty'!655:655,"AAAAADtv3mE=",0)</f>
        <v>0</v>
      </c>
      <c r="CU30" t="e">
        <f>AND('Data Extract File Ty'!A655,"AAAAADtv3mI=")</f>
        <v>#VALUE!</v>
      </c>
      <c r="CV30" t="e">
        <f>AND('Data Extract File Ty'!B655,"AAAAADtv3mM=")</f>
        <v>#VALUE!</v>
      </c>
      <c r="CW30" t="e">
        <f>AND('Data Extract File Ty'!C655,"AAAAADtv3mQ=")</f>
        <v>#VALUE!</v>
      </c>
      <c r="CX30" t="e">
        <f>AND('Data Extract File Ty'!D655,"AAAAADtv3mU=")</f>
        <v>#VALUE!</v>
      </c>
      <c r="CY30">
        <f>IF('Data Extract File Ty'!656:656,"AAAAADtv3mY=",0)</f>
        <v>0</v>
      </c>
      <c r="CZ30" t="e">
        <f>AND('Data Extract File Ty'!A656,"AAAAADtv3mc=")</f>
        <v>#VALUE!</v>
      </c>
      <c r="DA30" t="e">
        <f>AND('Data Extract File Ty'!B656,"AAAAADtv3mg=")</f>
        <v>#VALUE!</v>
      </c>
      <c r="DB30" t="e">
        <f>AND('Data Extract File Ty'!C656,"AAAAADtv3mk=")</f>
        <v>#VALUE!</v>
      </c>
      <c r="DC30" t="e">
        <f>AND('Data Extract File Ty'!D656,"AAAAADtv3mo=")</f>
        <v>#VALUE!</v>
      </c>
      <c r="DD30">
        <f>IF('Data Extract File Ty'!657:657,"AAAAADtv3ms=",0)</f>
        <v>0</v>
      </c>
      <c r="DE30" t="e">
        <f>AND('Data Extract File Ty'!A657,"AAAAADtv3mw=")</f>
        <v>#VALUE!</v>
      </c>
      <c r="DF30" t="e">
        <f>AND('Data Extract File Ty'!B657,"AAAAADtv3m0=")</f>
        <v>#VALUE!</v>
      </c>
      <c r="DG30" t="e">
        <f>AND('Data Extract File Ty'!C657,"AAAAADtv3m4=")</f>
        <v>#VALUE!</v>
      </c>
      <c r="DH30" t="e">
        <f>AND('Data Extract File Ty'!D657,"AAAAADtv3m8=")</f>
        <v>#VALUE!</v>
      </c>
      <c r="DI30">
        <f>IF('Data Extract File Ty'!658:658,"AAAAADtv3nA=",0)</f>
        <v>0</v>
      </c>
      <c r="DJ30" t="e">
        <f>AND('Data Extract File Ty'!A658,"AAAAADtv3nE=")</f>
        <v>#VALUE!</v>
      </c>
      <c r="DK30" t="e">
        <f>AND('Data Extract File Ty'!B658,"AAAAADtv3nI=")</f>
        <v>#VALUE!</v>
      </c>
      <c r="DL30" t="e">
        <f>AND('Data Extract File Ty'!C658,"AAAAADtv3nM=")</f>
        <v>#VALUE!</v>
      </c>
      <c r="DM30" t="e">
        <f>AND('Data Extract File Ty'!D658,"AAAAADtv3nQ=")</f>
        <v>#VALUE!</v>
      </c>
      <c r="DN30">
        <f>IF('Data Extract File Ty'!659:659,"AAAAADtv3nU=",0)</f>
        <v>0</v>
      </c>
      <c r="DO30" t="e">
        <f>AND('Data Extract File Ty'!A659,"AAAAADtv3nY=")</f>
        <v>#VALUE!</v>
      </c>
      <c r="DP30" t="e">
        <f>AND('Data Extract File Ty'!B659,"AAAAADtv3nc=")</f>
        <v>#VALUE!</v>
      </c>
      <c r="DQ30" t="e">
        <f>AND('Data Extract File Ty'!C659,"AAAAADtv3ng=")</f>
        <v>#VALUE!</v>
      </c>
      <c r="DR30" t="e">
        <f>AND('Data Extract File Ty'!D659,"AAAAADtv3nk=")</f>
        <v>#VALUE!</v>
      </c>
      <c r="DS30">
        <f>IF('Data Extract File Ty'!660:660,"AAAAADtv3no=",0)</f>
        <v>0</v>
      </c>
      <c r="DT30" t="e">
        <f>AND('Data Extract File Ty'!A660,"AAAAADtv3ns=")</f>
        <v>#VALUE!</v>
      </c>
      <c r="DU30" t="e">
        <f>AND('Data Extract File Ty'!B660,"AAAAADtv3nw=")</f>
        <v>#VALUE!</v>
      </c>
      <c r="DV30" t="e">
        <f>AND('Data Extract File Ty'!C660,"AAAAADtv3n0=")</f>
        <v>#VALUE!</v>
      </c>
      <c r="DW30" t="e">
        <f>AND('Data Extract File Ty'!D660,"AAAAADtv3n4=")</f>
        <v>#VALUE!</v>
      </c>
      <c r="DX30">
        <f>IF('Data Extract File Ty'!661:661,"AAAAADtv3n8=",0)</f>
        <v>0</v>
      </c>
      <c r="DY30" t="e">
        <f>AND('Data Extract File Ty'!A661,"AAAAADtv3oA=")</f>
        <v>#VALUE!</v>
      </c>
      <c r="DZ30" t="e">
        <f>AND('Data Extract File Ty'!B661,"AAAAADtv3oE=")</f>
        <v>#VALUE!</v>
      </c>
      <c r="EA30" t="e">
        <f>AND('Data Extract File Ty'!C661,"AAAAADtv3oI=")</f>
        <v>#VALUE!</v>
      </c>
      <c r="EB30" t="e">
        <f>AND('Data Extract File Ty'!D661,"AAAAADtv3oM=")</f>
        <v>#VALUE!</v>
      </c>
      <c r="EC30">
        <f>IF('Data Extract File Ty'!662:662,"AAAAADtv3oQ=",0)</f>
        <v>0</v>
      </c>
      <c r="ED30" t="e">
        <f>AND('Data Extract File Ty'!A662,"AAAAADtv3oU=")</f>
        <v>#VALUE!</v>
      </c>
      <c r="EE30" t="e">
        <f>AND('Data Extract File Ty'!B662,"AAAAADtv3oY=")</f>
        <v>#VALUE!</v>
      </c>
      <c r="EF30" t="e">
        <f>AND('Data Extract File Ty'!C662,"AAAAADtv3oc=")</f>
        <v>#VALUE!</v>
      </c>
      <c r="EG30" t="e">
        <f>AND('Data Extract File Ty'!D662,"AAAAADtv3og=")</f>
        <v>#VALUE!</v>
      </c>
      <c r="EH30">
        <f>IF('Data Extract File Ty'!663:663,"AAAAADtv3ok=",0)</f>
        <v>0</v>
      </c>
      <c r="EI30" t="e">
        <f>AND('Data Extract File Ty'!A663,"AAAAADtv3oo=")</f>
        <v>#VALUE!</v>
      </c>
      <c r="EJ30" t="e">
        <f>AND('Data Extract File Ty'!B663,"AAAAADtv3os=")</f>
        <v>#VALUE!</v>
      </c>
      <c r="EK30" t="e">
        <f>AND('Data Extract File Ty'!C663,"AAAAADtv3ow=")</f>
        <v>#VALUE!</v>
      </c>
      <c r="EL30" t="e">
        <f>AND('Data Extract File Ty'!D663,"AAAAADtv3o0=")</f>
        <v>#VALUE!</v>
      </c>
      <c r="EM30">
        <f>IF('Data Extract File Ty'!664:664,"AAAAADtv3o4=",0)</f>
        <v>0</v>
      </c>
      <c r="EN30" t="e">
        <f>AND('Data Extract File Ty'!A664,"AAAAADtv3o8=")</f>
        <v>#VALUE!</v>
      </c>
      <c r="EO30" t="e">
        <f>AND('Data Extract File Ty'!B664,"AAAAADtv3pA=")</f>
        <v>#VALUE!</v>
      </c>
      <c r="EP30" t="e">
        <f>AND('Data Extract File Ty'!C664,"AAAAADtv3pE=")</f>
        <v>#VALUE!</v>
      </c>
      <c r="EQ30" t="e">
        <f>AND('Data Extract File Ty'!D664,"AAAAADtv3pI=")</f>
        <v>#VALUE!</v>
      </c>
      <c r="ER30">
        <f>IF('Data Extract File Ty'!665:665,"AAAAADtv3pM=",0)</f>
        <v>0</v>
      </c>
      <c r="ES30" t="e">
        <f>AND('Data Extract File Ty'!A665,"AAAAADtv3pQ=")</f>
        <v>#VALUE!</v>
      </c>
      <c r="ET30" t="e">
        <f>AND('Data Extract File Ty'!B665,"AAAAADtv3pU=")</f>
        <v>#VALUE!</v>
      </c>
      <c r="EU30" t="e">
        <f>AND('Data Extract File Ty'!C665,"AAAAADtv3pY=")</f>
        <v>#VALUE!</v>
      </c>
      <c r="EV30" t="e">
        <f>AND('Data Extract File Ty'!D665,"AAAAADtv3pc=")</f>
        <v>#VALUE!</v>
      </c>
      <c r="EW30">
        <f>IF('Data Extract File Ty'!666:666,"AAAAADtv3pg=",0)</f>
        <v>0</v>
      </c>
      <c r="EX30" t="e">
        <f>AND('Data Extract File Ty'!A666,"AAAAADtv3pk=")</f>
        <v>#VALUE!</v>
      </c>
      <c r="EY30" t="e">
        <f>AND('Data Extract File Ty'!B666,"AAAAADtv3po=")</f>
        <v>#VALUE!</v>
      </c>
      <c r="EZ30" t="e">
        <f>AND('Data Extract File Ty'!C666,"AAAAADtv3ps=")</f>
        <v>#VALUE!</v>
      </c>
      <c r="FA30" t="e">
        <f>AND('Data Extract File Ty'!D666,"AAAAADtv3pw=")</f>
        <v>#VALUE!</v>
      </c>
      <c r="FB30">
        <f>IF('Data Extract File Ty'!667:667,"AAAAADtv3p0=",0)</f>
        <v>0</v>
      </c>
      <c r="FC30" t="e">
        <f>AND('Data Extract File Ty'!A667,"AAAAADtv3p4=")</f>
        <v>#VALUE!</v>
      </c>
      <c r="FD30" t="e">
        <f>AND('Data Extract File Ty'!B667,"AAAAADtv3p8=")</f>
        <v>#VALUE!</v>
      </c>
      <c r="FE30" t="e">
        <f>AND('Data Extract File Ty'!C667,"AAAAADtv3qA=")</f>
        <v>#VALUE!</v>
      </c>
      <c r="FF30" t="e">
        <f>AND('Data Extract File Ty'!D667,"AAAAADtv3qE=")</f>
        <v>#VALUE!</v>
      </c>
      <c r="FG30">
        <f>IF('Data Extract File Ty'!668:668,"AAAAADtv3qI=",0)</f>
        <v>0</v>
      </c>
      <c r="FH30" t="e">
        <f>AND('Data Extract File Ty'!A668,"AAAAADtv3qM=")</f>
        <v>#VALUE!</v>
      </c>
      <c r="FI30" t="e">
        <f>AND('Data Extract File Ty'!B668,"AAAAADtv3qQ=")</f>
        <v>#VALUE!</v>
      </c>
      <c r="FJ30" t="e">
        <f>AND('Data Extract File Ty'!C668,"AAAAADtv3qU=")</f>
        <v>#VALUE!</v>
      </c>
      <c r="FK30" t="e">
        <f>AND('Data Extract File Ty'!D668,"AAAAADtv3qY=")</f>
        <v>#VALUE!</v>
      </c>
      <c r="FL30">
        <f>IF('Data Extract File Ty'!669:669,"AAAAADtv3qc=",0)</f>
        <v>0</v>
      </c>
      <c r="FM30" t="e">
        <f>AND('Data Extract File Ty'!A669,"AAAAADtv3qg=")</f>
        <v>#VALUE!</v>
      </c>
      <c r="FN30" t="e">
        <f>AND('Data Extract File Ty'!B669,"AAAAADtv3qk=")</f>
        <v>#VALUE!</v>
      </c>
      <c r="FO30" t="e">
        <f>AND('Data Extract File Ty'!C669,"AAAAADtv3qo=")</f>
        <v>#VALUE!</v>
      </c>
      <c r="FP30" t="e">
        <f>AND('Data Extract File Ty'!D669,"AAAAADtv3qs=")</f>
        <v>#VALUE!</v>
      </c>
      <c r="FQ30">
        <f>IF('Data Extract File Ty'!670:670,"AAAAADtv3qw=",0)</f>
        <v>0</v>
      </c>
      <c r="FR30" t="e">
        <f>AND('Data Extract File Ty'!A670,"AAAAADtv3q0=")</f>
        <v>#VALUE!</v>
      </c>
      <c r="FS30" t="e">
        <f>AND('Data Extract File Ty'!B670,"AAAAADtv3q4=")</f>
        <v>#VALUE!</v>
      </c>
      <c r="FT30" t="e">
        <f>AND('Data Extract File Ty'!C670,"AAAAADtv3q8=")</f>
        <v>#VALUE!</v>
      </c>
      <c r="FU30" t="e">
        <f>AND('Data Extract File Ty'!D670,"AAAAADtv3rA=")</f>
        <v>#VALUE!</v>
      </c>
      <c r="FV30">
        <f>IF('Data Extract File Ty'!671:671,"AAAAADtv3rE=",0)</f>
        <v>0</v>
      </c>
      <c r="FW30" t="e">
        <f>AND('Data Extract File Ty'!A671,"AAAAADtv3rI=")</f>
        <v>#VALUE!</v>
      </c>
      <c r="FX30" t="e">
        <f>AND('Data Extract File Ty'!B671,"AAAAADtv3rM=")</f>
        <v>#VALUE!</v>
      </c>
      <c r="FY30" t="e">
        <f>AND('Data Extract File Ty'!C671,"AAAAADtv3rQ=")</f>
        <v>#VALUE!</v>
      </c>
      <c r="FZ30" t="e">
        <f>AND('Data Extract File Ty'!D671,"AAAAADtv3rU=")</f>
        <v>#VALUE!</v>
      </c>
      <c r="GA30">
        <f>IF('Data Extract File Ty'!672:672,"AAAAADtv3rY=",0)</f>
        <v>0</v>
      </c>
      <c r="GB30" t="e">
        <f>AND('Data Extract File Ty'!A672,"AAAAADtv3rc=")</f>
        <v>#VALUE!</v>
      </c>
      <c r="GC30" t="e">
        <f>AND('Data Extract File Ty'!B672,"AAAAADtv3rg=")</f>
        <v>#VALUE!</v>
      </c>
      <c r="GD30" t="e">
        <f>AND('Data Extract File Ty'!C672,"AAAAADtv3rk=")</f>
        <v>#VALUE!</v>
      </c>
      <c r="GE30" t="e">
        <f>AND('Data Extract File Ty'!D672,"AAAAADtv3ro=")</f>
        <v>#VALUE!</v>
      </c>
      <c r="GF30">
        <f>IF('Data Extract File Ty'!673:673,"AAAAADtv3rs=",0)</f>
        <v>0</v>
      </c>
      <c r="GG30" t="e">
        <f>AND('Data Extract File Ty'!A673,"AAAAADtv3rw=")</f>
        <v>#VALUE!</v>
      </c>
      <c r="GH30" t="e">
        <f>AND('Data Extract File Ty'!B673,"AAAAADtv3r0=")</f>
        <v>#VALUE!</v>
      </c>
      <c r="GI30" t="e">
        <f>AND('Data Extract File Ty'!C673,"AAAAADtv3r4=")</f>
        <v>#VALUE!</v>
      </c>
      <c r="GJ30" t="e">
        <f>AND('Data Extract File Ty'!D673,"AAAAADtv3r8=")</f>
        <v>#VALUE!</v>
      </c>
      <c r="GK30">
        <f>IF('Data Extract File Ty'!674:674,"AAAAADtv3sA=",0)</f>
        <v>0</v>
      </c>
      <c r="GL30" t="e">
        <f>AND('Data Extract File Ty'!A674,"AAAAADtv3sE=")</f>
        <v>#VALUE!</v>
      </c>
      <c r="GM30" t="e">
        <f>AND('Data Extract File Ty'!B674,"AAAAADtv3sI=")</f>
        <v>#VALUE!</v>
      </c>
      <c r="GN30" t="e">
        <f>AND('Data Extract File Ty'!C674,"AAAAADtv3sM=")</f>
        <v>#VALUE!</v>
      </c>
      <c r="GO30" t="e">
        <f>AND('Data Extract File Ty'!D674,"AAAAADtv3sQ=")</f>
        <v>#VALUE!</v>
      </c>
      <c r="GP30">
        <f>IF('Data Extract File Ty'!675:675,"AAAAADtv3sU=",0)</f>
        <v>0</v>
      </c>
      <c r="GQ30" t="e">
        <f>AND('Data Extract File Ty'!A675,"AAAAADtv3sY=")</f>
        <v>#VALUE!</v>
      </c>
      <c r="GR30" t="e">
        <f>AND('Data Extract File Ty'!B675,"AAAAADtv3sc=")</f>
        <v>#VALUE!</v>
      </c>
      <c r="GS30" t="e">
        <f>AND('Data Extract File Ty'!C675,"AAAAADtv3sg=")</f>
        <v>#VALUE!</v>
      </c>
      <c r="GT30" t="e">
        <f>AND('Data Extract File Ty'!D675,"AAAAADtv3sk=")</f>
        <v>#VALUE!</v>
      </c>
      <c r="GU30">
        <f>IF('Data Extract File Ty'!676:676,"AAAAADtv3so=",0)</f>
        <v>0</v>
      </c>
      <c r="GV30" t="e">
        <f>AND('Data Extract File Ty'!A676,"AAAAADtv3ss=")</f>
        <v>#VALUE!</v>
      </c>
      <c r="GW30" t="e">
        <f>AND('Data Extract File Ty'!B676,"AAAAADtv3sw=")</f>
        <v>#VALUE!</v>
      </c>
      <c r="GX30" t="e">
        <f>AND('Data Extract File Ty'!C676,"AAAAADtv3s0=")</f>
        <v>#VALUE!</v>
      </c>
      <c r="GY30" t="e">
        <f>AND('Data Extract File Ty'!D676,"AAAAADtv3s4=")</f>
        <v>#VALUE!</v>
      </c>
      <c r="GZ30">
        <f>IF('Data Extract File Ty'!677:677,"AAAAADtv3s8=",0)</f>
        <v>0</v>
      </c>
      <c r="HA30" t="e">
        <f>AND('Data Extract File Ty'!A677,"AAAAADtv3tA=")</f>
        <v>#VALUE!</v>
      </c>
      <c r="HB30" t="e">
        <f>AND('Data Extract File Ty'!B677,"AAAAADtv3tE=")</f>
        <v>#VALUE!</v>
      </c>
      <c r="HC30" t="e">
        <f>AND('Data Extract File Ty'!C677,"AAAAADtv3tI=")</f>
        <v>#VALUE!</v>
      </c>
      <c r="HD30" t="e">
        <f>AND('Data Extract File Ty'!D677,"AAAAADtv3tM=")</f>
        <v>#VALUE!</v>
      </c>
      <c r="HE30">
        <f>IF('Data Extract File Ty'!678:678,"AAAAADtv3tQ=",0)</f>
        <v>0</v>
      </c>
      <c r="HF30" t="e">
        <f>AND('Data Extract File Ty'!A678,"AAAAADtv3tU=")</f>
        <v>#VALUE!</v>
      </c>
      <c r="HG30" t="e">
        <f>AND('Data Extract File Ty'!B678,"AAAAADtv3tY=")</f>
        <v>#VALUE!</v>
      </c>
      <c r="HH30" t="e">
        <f>AND('Data Extract File Ty'!C678,"AAAAADtv3tc=")</f>
        <v>#VALUE!</v>
      </c>
      <c r="HI30" t="e">
        <f>AND('Data Extract File Ty'!D678,"AAAAADtv3tg=")</f>
        <v>#VALUE!</v>
      </c>
      <c r="HJ30">
        <f>IF('Data Extract File Ty'!679:679,"AAAAADtv3tk=",0)</f>
        <v>0</v>
      </c>
      <c r="HK30" t="e">
        <f>AND('Data Extract File Ty'!A679,"AAAAADtv3to=")</f>
        <v>#VALUE!</v>
      </c>
      <c r="HL30" t="e">
        <f>AND('Data Extract File Ty'!B679,"AAAAADtv3ts=")</f>
        <v>#VALUE!</v>
      </c>
      <c r="HM30" t="e">
        <f>AND('Data Extract File Ty'!C679,"AAAAADtv3tw=")</f>
        <v>#VALUE!</v>
      </c>
      <c r="HN30" t="e">
        <f>AND('Data Extract File Ty'!D679,"AAAAADtv3t0=")</f>
        <v>#VALUE!</v>
      </c>
      <c r="HO30">
        <f>IF('Data Extract File Ty'!680:680,"AAAAADtv3t4=",0)</f>
        <v>0</v>
      </c>
      <c r="HP30" t="e">
        <f>AND('Data Extract File Ty'!A680,"AAAAADtv3t8=")</f>
        <v>#VALUE!</v>
      </c>
      <c r="HQ30" t="e">
        <f>AND('Data Extract File Ty'!B680,"AAAAADtv3uA=")</f>
        <v>#VALUE!</v>
      </c>
      <c r="HR30" t="e">
        <f>AND('Data Extract File Ty'!C680,"AAAAADtv3uE=")</f>
        <v>#VALUE!</v>
      </c>
      <c r="HS30" t="e">
        <f>AND('Data Extract File Ty'!D680,"AAAAADtv3uI=")</f>
        <v>#VALUE!</v>
      </c>
      <c r="HT30">
        <f>IF('Data Extract File Ty'!681:681,"AAAAADtv3uM=",0)</f>
        <v>0</v>
      </c>
      <c r="HU30" t="e">
        <f>AND('Data Extract File Ty'!A681,"AAAAADtv3uQ=")</f>
        <v>#VALUE!</v>
      </c>
      <c r="HV30" t="e">
        <f>AND('Data Extract File Ty'!B681,"AAAAADtv3uU=")</f>
        <v>#VALUE!</v>
      </c>
      <c r="HW30" t="e">
        <f>AND('Data Extract File Ty'!C681,"AAAAADtv3uY=")</f>
        <v>#VALUE!</v>
      </c>
      <c r="HX30" t="e">
        <f>AND('Data Extract File Ty'!D681,"AAAAADtv3uc=")</f>
        <v>#VALUE!</v>
      </c>
      <c r="HY30">
        <f>IF('Data Extract File Ty'!682:682,"AAAAADtv3ug=",0)</f>
        <v>0</v>
      </c>
      <c r="HZ30" t="e">
        <f>AND('Data Extract File Ty'!A682,"AAAAADtv3uk=")</f>
        <v>#VALUE!</v>
      </c>
      <c r="IA30" t="e">
        <f>AND('Data Extract File Ty'!B682,"AAAAADtv3uo=")</f>
        <v>#VALUE!</v>
      </c>
      <c r="IB30" t="e">
        <f>AND('Data Extract File Ty'!C682,"AAAAADtv3us=")</f>
        <v>#VALUE!</v>
      </c>
      <c r="IC30" t="e">
        <f>AND('Data Extract File Ty'!D682,"AAAAADtv3uw=")</f>
        <v>#VALUE!</v>
      </c>
      <c r="ID30">
        <f>IF('Data Extract File Ty'!683:683,"AAAAADtv3u0=",0)</f>
        <v>0</v>
      </c>
      <c r="IE30" t="e">
        <f>AND('Data Extract File Ty'!A683,"AAAAADtv3u4=")</f>
        <v>#VALUE!</v>
      </c>
      <c r="IF30" t="e">
        <f>AND('Data Extract File Ty'!B683,"AAAAADtv3u8=")</f>
        <v>#VALUE!</v>
      </c>
      <c r="IG30" t="e">
        <f>AND('Data Extract File Ty'!C683,"AAAAADtv3vA=")</f>
        <v>#VALUE!</v>
      </c>
      <c r="IH30" t="e">
        <f>AND('Data Extract File Ty'!D683,"AAAAADtv3vE=")</f>
        <v>#VALUE!</v>
      </c>
      <c r="II30">
        <f>IF('Data Extract File Ty'!684:684,"AAAAADtv3vI=",0)</f>
        <v>0</v>
      </c>
      <c r="IJ30" t="e">
        <f>AND('Data Extract File Ty'!A684,"AAAAADtv3vM=")</f>
        <v>#VALUE!</v>
      </c>
      <c r="IK30" t="e">
        <f>AND('Data Extract File Ty'!B684,"AAAAADtv3vQ=")</f>
        <v>#VALUE!</v>
      </c>
      <c r="IL30" t="e">
        <f>AND('Data Extract File Ty'!C684,"AAAAADtv3vU=")</f>
        <v>#VALUE!</v>
      </c>
      <c r="IM30" t="e">
        <f>AND('Data Extract File Ty'!D684,"AAAAADtv3vY=")</f>
        <v>#VALUE!</v>
      </c>
      <c r="IN30">
        <f>IF('Data Extract File Ty'!685:685,"AAAAADtv3vc=",0)</f>
        <v>0</v>
      </c>
      <c r="IO30" t="e">
        <f>AND('Data Extract File Ty'!A685,"AAAAADtv3vg=")</f>
        <v>#VALUE!</v>
      </c>
      <c r="IP30" t="e">
        <f>AND('Data Extract File Ty'!B685,"AAAAADtv3vk=")</f>
        <v>#VALUE!</v>
      </c>
      <c r="IQ30" t="e">
        <f>AND('Data Extract File Ty'!C685,"AAAAADtv3vo=")</f>
        <v>#VALUE!</v>
      </c>
      <c r="IR30" t="e">
        <f>AND('Data Extract File Ty'!D685,"AAAAADtv3vs=")</f>
        <v>#VALUE!</v>
      </c>
      <c r="IS30">
        <f>IF('Data Extract File Ty'!686:686,"AAAAADtv3vw=",0)</f>
        <v>0</v>
      </c>
      <c r="IT30" t="e">
        <f>AND('Data Extract File Ty'!A686,"AAAAADtv3v0=")</f>
        <v>#VALUE!</v>
      </c>
      <c r="IU30" t="e">
        <f>AND('Data Extract File Ty'!B686,"AAAAADtv3v4=")</f>
        <v>#VALUE!</v>
      </c>
      <c r="IV30" t="e">
        <f>AND('Data Extract File Ty'!C686,"AAAAADtv3v8=")</f>
        <v>#VALUE!</v>
      </c>
    </row>
    <row r="31" spans="1:256" x14ac:dyDescent="0.2">
      <c r="A31" t="e">
        <f>AND('Data Extract File Ty'!D686,"AAAAAFe09wA=")</f>
        <v>#VALUE!</v>
      </c>
      <c r="B31" t="e">
        <f>IF('Data Extract File Ty'!687:687,"AAAAAFe09wE=",0)</f>
        <v>#VALUE!</v>
      </c>
      <c r="C31" t="e">
        <f>AND('Data Extract File Ty'!A687,"AAAAAFe09wI=")</f>
        <v>#VALUE!</v>
      </c>
      <c r="D31" t="e">
        <f>AND('Data Extract File Ty'!B687,"AAAAAFe09wM=")</f>
        <v>#VALUE!</v>
      </c>
      <c r="E31" t="e">
        <f>AND('Data Extract File Ty'!C687,"AAAAAFe09wQ=")</f>
        <v>#VALUE!</v>
      </c>
      <c r="F31" t="e">
        <f>AND('Data Extract File Ty'!D687,"AAAAAFe09wU=")</f>
        <v>#VALUE!</v>
      </c>
      <c r="G31">
        <f>IF('Data Extract File Ty'!688:688,"AAAAAFe09wY=",0)</f>
        <v>0</v>
      </c>
      <c r="H31" t="e">
        <f>AND('Data Extract File Ty'!A688,"AAAAAFe09wc=")</f>
        <v>#VALUE!</v>
      </c>
      <c r="I31" t="e">
        <f>AND('Data Extract File Ty'!B688,"AAAAAFe09wg=")</f>
        <v>#VALUE!</v>
      </c>
      <c r="J31" t="e">
        <f>AND('Data Extract File Ty'!C688,"AAAAAFe09wk=")</f>
        <v>#VALUE!</v>
      </c>
      <c r="K31" t="e">
        <f>AND('Data Extract File Ty'!D688,"AAAAAFe09wo=")</f>
        <v>#VALUE!</v>
      </c>
      <c r="L31">
        <f>IF('Data Extract File Ty'!689:689,"AAAAAFe09ws=",0)</f>
        <v>0</v>
      </c>
      <c r="M31" t="e">
        <f>AND('Data Extract File Ty'!A689,"AAAAAFe09ww=")</f>
        <v>#VALUE!</v>
      </c>
      <c r="N31" t="e">
        <f>AND('Data Extract File Ty'!B689,"AAAAAFe09w0=")</f>
        <v>#VALUE!</v>
      </c>
      <c r="O31" t="e">
        <f>AND('Data Extract File Ty'!C689,"AAAAAFe09w4=")</f>
        <v>#VALUE!</v>
      </c>
      <c r="P31" t="e">
        <f>AND('Data Extract File Ty'!D689,"AAAAAFe09w8=")</f>
        <v>#VALUE!</v>
      </c>
      <c r="Q31">
        <f>IF('Data Extract File Ty'!690:690,"AAAAAFe09xA=",0)</f>
        <v>0</v>
      </c>
      <c r="R31" t="e">
        <f>AND('Data Extract File Ty'!A690,"AAAAAFe09xE=")</f>
        <v>#VALUE!</v>
      </c>
      <c r="S31" t="e">
        <f>AND('Data Extract File Ty'!B690,"AAAAAFe09xI=")</f>
        <v>#VALUE!</v>
      </c>
      <c r="T31" t="e">
        <f>AND('Data Extract File Ty'!C690,"AAAAAFe09xM=")</f>
        <v>#VALUE!</v>
      </c>
      <c r="U31" t="e">
        <f>AND('Data Extract File Ty'!D690,"AAAAAFe09xQ=")</f>
        <v>#VALUE!</v>
      </c>
      <c r="V31">
        <f>IF('Data Extract File Ty'!691:691,"AAAAAFe09xU=",0)</f>
        <v>0</v>
      </c>
      <c r="W31" t="e">
        <f>AND('Data Extract File Ty'!A691,"AAAAAFe09xY=")</f>
        <v>#VALUE!</v>
      </c>
      <c r="X31" t="e">
        <f>AND('Data Extract File Ty'!B691,"AAAAAFe09xc=")</f>
        <v>#VALUE!</v>
      </c>
      <c r="Y31" t="e">
        <f>AND('Data Extract File Ty'!C691,"AAAAAFe09xg=")</f>
        <v>#VALUE!</v>
      </c>
      <c r="Z31" t="e">
        <f>AND('Data Extract File Ty'!D691,"AAAAAFe09xk=")</f>
        <v>#VALUE!</v>
      </c>
      <c r="AA31">
        <f>IF('Data Extract File Ty'!692:692,"AAAAAFe09xo=",0)</f>
        <v>0</v>
      </c>
      <c r="AB31" t="e">
        <f>AND('Data Extract File Ty'!A692,"AAAAAFe09xs=")</f>
        <v>#VALUE!</v>
      </c>
      <c r="AC31" t="e">
        <f>AND('Data Extract File Ty'!B692,"AAAAAFe09xw=")</f>
        <v>#VALUE!</v>
      </c>
      <c r="AD31" t="e">
        <f>AND('Data Extract File Ty'!C692,"AAAAAFe09x0=")</f>
        <v>#VALUE!</v>
      </c>
      <c r="AE31" t="e">
        <f>AND('Data Extract File Ty'!D692,"AAAAAFe09x4=")</f>
        <v>#VALUE!</v>
      </c>
      <c r="AF31">
        <f>IF('Data Extract File Ty'!693:693,"AAAAAFe09x8=",0)</f>
        <v>0</v>
      </c>
      <c r="AG31" t="e">
        <f>AND('Data Extract File Ty'!A693,"AAAAAFe09yA=")</f>
        <v>#VALUE!</v>
      </c>
      <c r="AH31" t="e">
        <f>AND('Data Extract File Ty'!B693,"AAAAAFe09yE=")</f>
        <v>#VALUE!</v>
      </c>
      <c r="AI31" t="e">
        <f>AND('Data Extract File Ty'!C693,"AAAAAFe09yI=")</f>
        <v>#VALUE!</v>
      </c>
      <c r="AJ31" t="e">
        <f>AND('Data Extract File Ty'!D693,"AAAAAFe09yM=")</f>
        <v>#VALUE!</v>
      </c>
      <c r="AK31">
        <f>IF('Data Extract File Ty'!694:694,"AAAAAFe09yQ=",0)</f>
        <v>0</v>
      </c>
      <c r="AL31" t="e">
        <f>AND('Data Extract File Ty'!A694,"AAAAAFe09yU=")</f>
        <v>#VALUE!</v>
      </c>
      <c r="AM31" t="e">
        <f>AND('Data Extract File Ty'!B694,"AAAAAFe09yY=")</f>
        <v>#VALUE!</v>
      </c>
      <c r="AN31" t="e">
        <f>AND('Data Extract File Ty'!C694,"AAAAAFe09yc=")</f>
        <v>#VALUE!</v>
      </c>
      <c r="AO31" t="e">
        <f>AND('Data Extract File Ty'!D694,"AAAAAFe09yg=")</f>
        <v>#VALUE!</v>
      </c>
      <c r="AP31">
        <f>IF('Data Extract File Ty'!695:695,"AAAAAFe09yk=",0)</f>
        <v>0</v>
      </c>
      <c r="AQ31" t="e">
        <f>AND('Data Extract File Ty'!A695,"AAAAAFe09yo=")</f>
        <v>#VALUE!</v>
      </c>
      <c r="AR31" t="e">
        <f>AND('Data Extract File Ty'!B695,"AAAAAFe09ys=")</f>
        <v>#VALUE!</v>
      </c>
      <c r="AS31" t="e">
        <f>AND('Data Extract File Ty'!C695,"AAAAAFe09yw=")</f>
        <v>#VALUE!</v>
      </c>
      <c r="AT31" t="e">
        <f>AND('Data Extract File Ty'!D695,"AAAAAFe09y0=")</f>
        <v>#VALUE!</v>
      </c>
      <c r="AU31">
        <f>IF('Data Extract File Ty'!696:696,"AAAAAFe09y4=",0)</f>
        <v>0</v>
      </c>
      <c r="AV31" t="e">
        <f>AND('Data Extract File Ty'!A696,"AAAAAFe09y8=")</f>
        <v>#VALUE!</v>
      </c>
      <c r="AW31" t="e">
        <f>AND('Data Extract File Ty'!B696,"AAAAAFe09zA=")</f>
        <v>#VALUE!</v>
      </c>
      <c r="AX31" t="e">
        <f>AND('Data Extract File Ty'!C696,"AAAAAFe09zE=")</f>
        <v>#VALUE!</v>
      </c>
      <c r="AY31" t="e">
        <f>AND('Data Extract File Ty'!D696,"AAAAAFe09zI=")</f>
        <v>#VALUE!</v>
      </c>
      <c r="AZ31">
        <f>IF('Data Extract File Ty'!697:697,"AAAAAFe09zM=",0)</f>
        <v>0</v>
      </c>
      <c r="BA31" t="e">
        <f>AND('Data Extract File Ty'!A697,"AAAAAFe09zQ=")</f>
        <v>#VALUE!</v>
      </c>
      <c r="BB31" t="e">
        <f>AND('Data Extract File Ty'!B697,"AAAAAFe09zU=")</f>
        <v>#VALUE!</v>
      </c>
      <c r="BC31" t="e">
        <f>AND('Data Extract File Ty'!C697,"AAAAAFe09zY=")</f>
        <v>#VALUE!</v>
      </c>
      <c r="BD31" t="e">
        <f>AND('Data Extract File Ty'!D697,"AAAAAFe09zc=")</f>
        <v>#VALUE!</v>
      </c>
      <c r="BE31">
        <f>IF('Data Extract File Ty'!698:698,"AAAAAFe09zg=",0)</f>
        <v>0</v>
      </c>
      <c r="BF31" t="e">
        <f>AND('Data Extract File Ty'!A698,"AAAAAFe09zk=")</f>
        <v>#VALUE!</v>
      </c>
      <c r="BG31" t="e">
        <f>AND('Data Extract File Ty'!B698,"AAAAAFe09zo=")</f>
        <v>#VALUE!</v>
      </c>
      <c r="BH31" t="e">
        <f>AND('Data Extract File Ty'!C698,"AAAAAFe09zs=")</f>
        <v>#VALUE!</v>
      </c>
      <c r="BI31" t="e">
        <f>AND('Data Extract File Ty'!D698,"AAAAAFe09zw=")</f>
        <v>#VALUE!</v>
      </c>
      <c r="BJ31">
        <f>IF('Data Extract File Ty'!699:699,"AAAAAFe09z0=",0)</f>
        <v>0</v>
      </c>
      <c r="BK31" t="e">
        <f>AND('Data Extract File Ty'!A699,"AAAAAFe09z4=")</f>
        <v>#VALUE!</v>
      </c>
      <c r="BL31" t="e">
        <f>AND('Data Extract File Ty'!B699,"AAAAAFe09z8=")</f>
        <v>#VALUE!</v>
      </c>
      <c r="BM31" t="e">
        <f>AND('Data Extract File Ty'!C699,"AAAAAFe090A=")</f>
        <v>#VALUE!</v>
      </c>
      <c r="BN31" t="e">
        <f>AND('Data Extract File Ty'!D699,"AAAAAFe090E=")</f>
        <v>#VALUE!</v>
      </c>
      <c r="BO31">
        <f>IF('Data Extract File Ty'!700:700,"AAAAAFe090I=",0)</f>
        <v>0</v>
      </c>
      <c r="BP31" t="e">
        <f>AND('Data Extract File Ty'!A700,"AAAAAFe090M=")</f>
        <v>#VALUE!</v>
      </c>
      <c r="BQ31" t="e">
        <f>AND('Data Extract File Ty'!B700,"AAAAAFe090Q=")</f>
        <v>#VALUE!</v>
      </c>
      <c r="BR31" t="e">
        <f>AND('Data Extract File Ty'!C700,"AAAAAFe090U=")</f>
        <v>#VALUE!</v>
      </c>
      <c r="BS31" t="e">
        <f>AND('Data Extract File Ty'!D700,"AAAAAFe090Y=")</f>
        <v>#VALUE!</v>
      </c>
      <c r="BT31">
        <f>IF('Data Extract File Ty'!701:701,"AAAAAFe090c=",0)</f>
        <v>0</v>
      </c>
      <c r="BU31" t="e">
        <f>AND('Data Extract File Ty'!A701,"AAAAAFe090g=")</f>
        <v>#VALUE!</v>
      </c>
      <c r="BV31" t="e">
        <f>AND('Data Extract File Ty'!B701,"AAAAAFe090k=")</f>
        <v>#VALUE!</v>
      </c>
      <c r="BW31" t="e">
        <f>AND('Data Extract File Ty'!C701,"AAAAAFe090o=")</f>
        <v>#VALUE!</v>
      </c>
      <c r="BX31" t="e">
        <f>AND('Data Extract File Ty'!D701,"AAAAAFe090s=")</f>
        <v>#VALUE!</v>
      </c>
      <c r="BY31">
        <f>IF('Data Extract File Ty'!702:702,"AAAAAFe090w=",0)</f>
        <v>0</v>
      </c>
      <c r="BZ31" t="e">
        <f>AND('Data Extract File Ty'!A702,"AAAAAFe0900=")</f>
        <v>#VALUE!</v>
      </c>
      <c r="CA31" t="e">
        <f>AND('Data Extract File Ty'!B702,"AAAAAFe0904=")</f>
        <v>#VALUE!</v>
      </c>
      <c r="CB31" t="e">
        <f>AND('Data Extract File Ty'!C702,"AAAAAFe0908=")</f>
        <v>#VALUE!</v>
      </c>
      <c r="CC31" t="e">
        <f>AND('Data Extract File Ty'!D702,"AAAAAFe091A=")</f>
        <v>#VALUE!</v>
      </c>
      <c r="CD31">
        <f>IF('Data Extract File Ty'!703:703,"AAAAAFe091E=",0)</f>
        <v>0</v>
      </c>
      <c r="CE31" t="e">
        <f>AND('Data Extract File Ty'!A703,"AAAAAFe091I=")</f>
        <v>#VALUE!</v>
      </c>
      <c r="CF31" t="e">
        <f>AND('Data Extract File Ty'!B703,"AAAAAFe091M=")</f>
        <v>#VALUE!</v>
      </c>
      <c r="CG31" t="e">
        <f>AND('Data Extract File Ty'!C703,"AAAAAFe091Q=")</f>
        <v>#VALUE!</v>
      </c>
      <c r="CH31" t="e">
        <f>AND('Data Extract File Ty'!D703,"AAAAAFe091U=")</f>
        <v>#VALUE!</v>
      </c>
      <c r="CI31">
        <f>IF('Data Extract File Ty'!704:704,"AAAAAFe091Y=",0)</f>
        <v>0</v>
      </c>
      <c r="CJ31" t="e">
        <f>AND('Data Extract File Ty'!A704,"AAAAAFe091c=")</f>
        <v>#VALUE!</v>
      </c>
      <c r="CK31" t="e">
        <f>AND('Data Extract File Ty'!B704,"AAAAAFe091g=")</f>
        <v>#VALUE!</v>
      </c>
      <c r="CL31" t="e">
        <f>AND('Data Extract File Ty'!C704,"AAAAAFe091k=")</f>
        <v>#VALUE!</v>
      </c>
      <c r="CM31" t="e">
        <f>AND('Data Extract File Ty'!D704,"AAAAAFe091o=")</f>
        <v>#VALUE!</v>
      </c>
      <c r="CN31">
        <f>IF('Data Extract File Ty'!705:705,"AAAAAFe091s=",0)</f>
        <v>0</v>
      </c>
      <c r="CO31" t="e">
        <f>AND('Data Extract File Ty'!A705,"AAAAAFe091w=")</f>
        <v>#VALUE!</v>
      </c>
      <c r="CP31" t="e">
        <f>AND('Data Extract File Ty'!B705,"AAAAAFe0910=")</f>
        <v>#VALUE!</v>
      </c>
      <c r="CQ31" t="e">
        <f>AND('Data Extract File Ty'!C705,"AAAAAFe0914=")</f>
        <v>#VALUE!</v>
      </c>
      <c r="CR31" t="e">
        <f>AND('Data Extract File Ty'!D705,"AAAAAFe0918=")</f>
        <v>#VALUE!</v>
      </c>
      <c r="CS31">
        <f>IF('Data Extract File Ty'!706:706,"AAAAAFe092A=",0)</f>
        <v>0</v>
      </c>
      <c r="CT31" t="e">
        <f>AND('Data Extract File Ty'!A706,"AAAAAFe092E=")</f>
        <v>#VALUE!</v>
      </c>
      <c r="CU31" t="e">
        <f>AND('Data Extract File Ty'!B706,"AAAAAFe092I=")</f>
        <v>#VALUE!</v>
      </c>
      <c r="CV31" t="e">
        <f>AND('Data Extract File Ty'!C706,"AAAAAFe092M=")</f>
        <v>#VALUE!</v>
      </c>
      <c r="CW31" t="e">
        <f>AND('Data Extract File Ty'!D706,"AAAAAFe092Q=")</f>
        <v>#VALUE!</v>
      </c>
      <c r="CX31">
        <f>IF('Data Extract File Ty'!707:707,"AAAAAFe092U=",0)</f>
        <v>0</v>
      </c>
      <c r="CY31" t="e">
        <f>AND('Data Extract File Ty'!A707,"AAAAAFe092Y=")</f>
        <v>#VALUE!</v>
      </c>
      <c r="CZ31" t="e">
        <f>AND('Data Extract File Ty'!B707,"AAAAAFe092c=")</f>
        <v>#VALUE!</v>
      </c>
      <c r="DA31" t="e">
        <f>AND('Data Extract File Ty'!C707,"AAAAAFe092g=")</f>
        <v>#VALUE!</v>
      </c>
      <c r="DB31" t="e">
        <f>AND('Data Extract File Ty'!D707,"AAAAAFe092k=")</f>
        <v>#VALUE!</v>
      </c>
      <c r="DC31">
        <f>IF('Data Extract File Ty'!708:708,"AAAAAFe092o=",0)</f>
        <v>0</v>
      </c>
      <c r="DD31" t="e">
        <f>AND('Data Extract File Ty'!A708,"AAAAAFe092s=")</f>
        <v>#VALUE!</v>
      </c>
      <c r="DE31" t="e">
        <f>AND('Data Extract File Ty'!B708,"AAAAAFe092w=")</f>
        <v>#VALUE!</v>
      </c>
      <c r="DF31" t="e">
        <f>AND('Data Extract File Ty'!C708,"AAAAAFe0920=")</f>
        <v>#VALUE!</v>
      </c>
      <c r="DG31" t="e">
        <f>AND('Data Extract File Ty'!D708,"AAAAAFe0924=")</f>
        <v>#VALUE!</v>
      </c>
      <c r="DH31">
        <f>IF('Data Extract File Ty'!709:709,"AAAAAFe0928=",0)</f>
        <v>0</v>
      </c>
      <c r="DI31" t="e">
        <f>AND('Data Extract File Ty'!A709,"AAAAAFe093A=")</f>
        <v>#VALUE!</v>
      </c>
      <c r="DJ31" t="e">
        <f>AND('Data Extract File Ty'!B709,"AAAAAFe093E=")</f>
        <v>#VALUE!</v>
      </c>
      <c r="DK31" t="e">
        <f>AND('Data Extract File Ty'!C709,"AAAAAFe093I=")</f>
        <v>#VALUE!</v>
      </c>
      <c r="DL31" t="e">
        <f>AND('Data Extract File Ty'!D709,"AAAAAFe093M=")</f>
        <v>#VALUE!</v>
      </c>
      <c r="DM31">
        <f>IF('Data Extract File Ty'!710:710,"AAAAAFe093Q=",0)</f>
        <v>0</v>
      </c>
      <c r="DN31" t="e">
        <f>AND('Data Extract File Ty'!A710,"AAAAAFe093U=")</f>
        <v>#VALUE!</v>
      </c>
      <c r="DO31" t="e">
        <f>AND('Data Extract File Ty'!B710,"AAAAAFe093Y=")</f>
        <v>#VALUE!</v>
      </c>
      <c r="DP31" t="e">
        <f>AND('Data Extract File Ty'!C710,"AAAAAFe093c=")</f>
        <v>#VALUE!</v>
      </c>
      <c r="DQ31" t="e">
        <f>AND('Data Extract File Ty'!D710,"AAAAAFe093g=")</f>
        <v>#VALUE!</v>
      </c>
      <c r="DR31">
        <f>IF('Data Extract File Ty'!711:711,"AAAAAFe093k=",0)</f>
        <v>0</v>
      </c>
      <c r="DS31" t="e">
        <f>AND('Data Extract File Ty'!A711,"AAAAAFe093o=")</f>
        <v>#VALUE!</v>
      </c>
      <c r="DT31" t="e">
        <f>AND('Data Extract File Ty'!B711,"AAAAAFe093s=")</f>
        <v>#VALUE!</v>
      </c>
      <c r="DU31" t="e">
        <f>AND('Data Extract File Ty'!C711,"AAAAAFe093w=")</f>
        <v>#VALUE!</v>
      </c>
      <c r="DV31" t="e">
        <f>AND('Data Extract File Ty'!D711,"AAAAAFe0930=")</f>
        <v>#VALUE!</v>
      </c>
      <c r="DW31">
        <f>IF('Data Extract File Ty'!712:712,"AAAAAFe0934=",0)</f>
        <v>0</v>
      </c>
      <c r="DX31" t="e">
        <f>AND('Data Extract File Ty'!A712,"AAAAAFe0938=")</f>
        <v>#VALUE!</v>
      </c>
      <c r="DY31" t="e">
        <f>AND('Data Extract File Ty'!B712,"AAAAAFe094A=")</f>
        <v>#VALUE!</v>
      </c>
      <c r="DZ31" t="e">
        <f>AND('Data Extract File Ty'!C712,"AAAAAFe094E=")</f>
        <v>#VALUE!</v>
      </c>
      <c r="EA31" t="e">
        <f>AND('Data Extract File Ty'!D712,"AAAAAFe094I=")</f>
        <v>#VALUE!</v>
      </c>
      <c r="EB31">
        <f>IF('Data Extract File Ty'!713:713,"AAAAAFe094M=",0)</f>
        <v>0</v>
      </c>
      <c r="EC31" t="e">
        <f>AND('Data Extract File Ty'!A713,"AAAAAFe094Q=")</f>
        <v>#VALUE!</v>
      </c>
      <c r="ED31" t="e">
        <f>AND('Data Extract File Ty'!B713,"AAAAAFe094U=")</f>
        <v>#VALUE!</v>
      </c>
      <c r="EE31" t="e">
        <f>AND('Data Extract File Ty'!C713,"AAAAAFe094Y=")</f>
        <v>#VALUE!</v>
      </c>
      <c r="EF31" t="e">
        <f>AND('Data Extract File Ty'!D713,"AAAAAFe094c=")</f>
        <v>#VALUE!</v>
      </c>
      <c r="EG31">
        <f>IF('Data Extract File Ty'!714:714,"AAAAAFe094g=",0)</f>
        <v>0</v>
      </c>
      <c r="EH31" t="e">
        <f>AND('Data Extract File Ty'!A714,"AAAAAFe094k=")</f>
        <v>#VALUE!</v>
      </c>
      <c r="EI31" t="e">
        <f>AND('Data Extract File Ty'!B714,"AAAAAFe094o=")</f>
        <v>#VALUE!</v>
      </c>
      <c r="EJ31" t="e">
        <f>AND('Data Extract File Ty'!C714,"AAAAAFe094s=")</f>
        <v>#VALUE!</v>
      </c>
      <c r="EK31" t="e">
        <f>AND('Data Extract File Ty'!D714,"AAAAAFe094w=")</f>
        <v>#VALUE!</v>
      </c>
      <c r="EL31">
        <f>IF('Data Extract File Ty'!715:715,"AAAAAFe0940=",0)</f>
        <v>0</v>
      </c>
      <c r="EM31" t="e">
        <f>AND('Data Extract File Ty'!A715,"AAAAAFe0944=")</f>
        <v>#VALUE!</v>
      </c>
      <c r="EN31" t="e">
        <f>AND('Data Extract File Ty'!B715,"AAAAAFe0948=")</f>
        <v>#VALUE!</v>
      </c>
      <c r="EO31" t="e">
        <f>AND('Data Extract File Ty'!C715,"AAAAAFe095A=")</f>
        <v>#VALUE!</v>
      </c>
      <c r="EP31" t="e">
        <f>AND('Data Extract File Ty'!D715,"AAAAAFe095E=")</f>
        <v>#VALUE!</v>
      </c>
      <c r="EQ31">
        <f>IF('Data Extract File Ty'!716:716,"AAAAAFe095I=",0)</f>
        <v>0</v>
      </c>
      <c r="ER31" t="e">
        <f>AND('Data Extract File Ty'!A716,"AAAAAFe095M=")</f>
        <v>#VALUE!</v>
      </c>
      <c r="ES31" t="e">
        <f>AND('Data Extract File Ty'!B716,"AAAAAFe095Q=")</f>
        <v>#VALUE!</v>
      </c>
      <c r="ET31" t="e">
        <f>AND('Data Extract File Ty'!C716,"AAAAAFe095U=")</f>
        <v>#VALUE!</v>
      </c>
      <c r="EU31" t="e">
        <f>AND('Data Extract File Ty'!D716,"AAAAAFe095Y=")</f>
        <v>#VALUE!</v>
      </c>
      <c r="EV31">
        <f>IF('Data Extract File Ty'!717:717,"AAAAAFe095c=",0)</f>
        <v>0</v>
      </c>
      <c r="EW31" t="e">
        <f>AND('Data Extract File Ty'!A717,"AAAAAFe095g=")</f>
        <v>#VALUE!</v>
      </c>
      <c r="EX31" t="e">
        <f>AND('Data Extract File Ty'!B717,"AAAAAFe095k=")</f>
        <v>#VALUE!</v>
      </c>
      <c r="EY31" t="e">
        <f>AND('Data Extract File Ty'!C717,"AAAAAFe095o=")</f>
        <v>#VALUE!</v>
      </c>
      <c r="EZ31" t="e">
        <f>AND('Data Extract File Ty'!D717,"AAAAAFe095s=")</f>
        <v>#VALUE!</v>
      </c>
      <c r="FA31">
        <f>IF('Data Extract File Ty'!718:718,"AAAAAFe095w=",0)</f>
        <v>0</v>
      </c>
      <c r="FB31" t="e">
        <f>AND('Data Extract File Ty'!A718,"AAAAAFe0950=")</f>
        <v>#VALUE!</v>
      </c>
      <c r="FC31" t="e">
        <f>AND('Data Extract File Ty'!B718,"AAAAAFe0954=")</f>
        <v>#VALUE!</v>
      </c>
      <c r="FD31" t="e">
        <f>AND('Data Extract File Ty'!C718,"AAAAAFe0958=")</f>
        <v>#VALUE!</v>
      </c>
      <c r="FE31" t="e">
        <f>AND('Data Extract File Ty'!D718,"AAAAAFe096A=")</f>
        <v>#VALUE!</v>
      </c>
      <c r="FF31">
        <f>IF('Data Extract File Ty'!719:719,"AAAAAFe096E=",0)</f>
        <v>0</v>
      </c>
      <c r="FG31" t="e">
        <f>AND('Data Extract File Ty'!A719,"AAAAAFe096I=")</f>
        <v>#VALUE!</v>
      </c>
      <c r="FH31" t="e">
        <f>AND('Data Extract File Ty'!B719,"AAAAAFe096M=")</f>
        <v>#VALUE!</v>
      </c>
      <c r="FI31" t="e">
        <f>AND('Data Extract File Ty'!C719,"AAAAAFe096Q=")</f>
        <v>#VALUE!</v>
      </c>
      <c r="FJ31" t="e">
        <f>AND('Data Extract File Ty'!D719,"AAAAAFe096U=")</f>
        <v>#VALUE!</v>
      </c>
      <c r="FK31">
        <f>IF('Data Extract File Ty'!720:720,"AAAAAFe096Y=",0)</f>
        <v>0</v>
      </c>
      <c r="FL31" t="e">
        <f>AND('Data Extract File Ty'!A720,"AAAAAFe096c=")</f>
        <v>#VALUE!</v>
      </c>
      <c r="FM31" t="e">
        <f>AND('Data Extract File Ty'!B720,"AAAAAFe096g=")</f>
        <v>#VALUE!</v>
      </c>
      <c r="FN31" t="e">
        <f>AND('Data Extract File Ty'!C720,"AAAAAFe096k=")</f>
        <v>#VALUE!</v>
      </c>
      <c r="FO31" t="e">
        <f>AND('Data Extract File Ty'!D720,"AAAAAFe096o=")</f>
        <v>#VALUE!</v>
      </c>
      <c r="FP31">
        <f>IF('Data Extract File Ty'!721:721,"AAAAAFe096s=",0)</f>
        <v>0</v>
      </c>
      <c r="FQ31" t="e">
        <f>AND('Data Extract File Ty'!A721,"AAAAAFe096w=")</f>
        <v>#VALUE!</v>
      </c>
      <c r="FR31" t="e">
        <f>AND('Data Extract File Ty'!B721,"AAAAAFe0960=")</f>
        <v>#VALUE!</v>
      </c>
      <c r="FS31" t="e">
        <f>AND('Data Extract File Ty'!C721,"AAAAAFe0964=")</f>
        <v>#VALUE!</v>
      </c>
      <c r="FT31" t="e">
        <f>AND('Data Extract File Ty'!D721,"AAAAAFe0968=")</f>
        <v>#VALUE!</v>
      </c>
      <c r="FU31">
        <f>IF('Data Extract File Ty'!722:722,"AAAAAFe097A=",0)</f>
        <v>0</v>
      </c>
      <c r="FV31" t="e">
        <f>AND('Data Extract File Ty'!A722,"AAAAAFe097E=")</f>
        <v>#VALUE!</v>
      </c>
      <c r="FW31" t="e">
        <f>AND('Data Extract File Ty'!B722,"AAAAAFe097I=")</f>
        <v>#VALUE!</v>
      </c>
      <c r="FX31" t="e">
        <f>AND('Data Extract File Ty'!C722,"AAAAAFe097M=")</f>
        <v>#VALUE!</v>
      </c>
      <c r="FY31" t="e">
        <f>AND('Data Extract File Ty'!D722,"AAAAAFe097Q=")</f>
        <v>#VALUE!</v>
      </c>
      <c r="FZ31">
        <f>IF('Data Extract File Ty'!723:723,"AAAAAFe097U=",0)</f>
        <v>0</v>
      </c>
      <c r="GA31" t="e">
        <f>AND('Data Extract File Ty'!A723,"AAAAAFe097Y=")</f>
        <v>#VALUE!</v>
      </c>
      <c r="GB31" t="e">
        <f>AND('Data Extract File Ty'!B723,"AAAAAFe097c=")</f>
        <v>#VALUE!</v>
      </c>
      <c r="GC31" t="e">
        <f>AND('Data Extract File Ty'!C723,"AAAAAFe097g=")</f>
        <v>#VALUE!</v>
      </c>
      <c r="GD31" t="e">
        <f>AND('Data Extract File Ty'!D723,"AAAAAFe097k=")</f>
        <v>#VALUE!</v>
      </c>
      <c r="GE31">
        <f>IF('Data Extract File Ty'!724:724,"AAAAAFe097o=",0)</f>
        <v>0</v>
      </c>
      <c r="GF31" t="e">
        <f>AND('Data Extract File Ty'!A724,"AAAAAFe097s=")</f>
        <v>#VALUE!</v>
      </c>
      <c r="GG31" t="e">
        <f>AND('Data Extract File Ty'!B724,"AAAAAFe097w=")</f>
        <v>#VALUE!</v>
      </c>
      <c r="GH31" t="e">
        <f>AND('Data Extract File Ty'!C724,"AAAAAFe0970=")</f>
        <v>#VALUE!</v>
      </c>
      <c r="GI31" t="e">
        <f>AND('Data Extract File Ty'!D724,"AAAAAFe0974=")</f>
        <v>#VALUE!</v>
      </c>
      <c r="GJ31">
        <f>IF('Data Extract File Ty'!725:725,"AAAAAFe0978=",0)</f>
        <v>0</v>
      </c>
      <c r="GK31" t="e">
        <f>AND('Data Extract File Ty'!A725,"AAAAAFe098A=")</f>
        <v>#VALUE!</v>
      </c>
      <c r="GL31" t="e">
        <f>AND('Data Extract File Ty'!B725,"AAAAAFe098E=")</f>
        <v>#VALUE!</v>
      </c>
      <c r="GM31" t="e">
        <f>AND('Data Extract File Ty'!C725,"AAAAAFe098I=")</f>
        <v>#VALUE!</v>
      </c>
      <c r="GN31" t="e">
        <f>AND('Data Extract File Ty'!D725,"AAAAAFe098M=")</f>
        <v>#VALUE!</v>
      </c>
      <c r="GO31">
        <f>IF('Data Extract File Ty'!726:726,"AAAAAFe098Q=",0)</f>
        <v>0</v>
      </c>
      <c r="GP31" t="e">
        <f>AND('Data Extract File Ty'!A726,"AAAAAFe098U=")</f>
        <v>#VALUE!</v>
      </c>
      <c r="GQ31" t="e">
        <f>AND('Data Extract File Ty'!B726,"AAAAAFe098Y=")</f>
        <v>#VALUE!</v>
      </c>
      <c r="GR31" t="e">
        <f>AND('Data Extract File Ty'!C726,"AAAAAFe098c=")</f>
        <v>#VALUE!</v>
      </c>
      <c r="GS31" t="e">
        <f>AND('Data Extract File Ty'!D726,"AAAAAFe098g=")</f>
        <v>#VALUE!</v>
      </c>
      <c r="GT31">
        <f>IF('Data Extract File Ty'!727:727,"AAAAAFe098k=",0)</f>
        <v>0</v>
      </c>
      <c r="GU31" t="e">
        <f>AND('Data Extract File Ty'!A727,"AAAAAFe098o=")</f>
        <v>#VALUE!</v>
      </c>
      <c r="GV31" t="e">
        <f>AND('Data Extract File Ty'!B727,"AAAAAFe098s=")</f>
        <v>#VALUE!</v>
      </c>
      <c r="GW31" t="e">
        <f>AND('Data Extract File Ty'!C727,"AAAAAFe098w=")</f>
        <v>#VALUE!</v>
      </c>
      <c r="GX31" t="e">
        <f>AND('Data Extract File Ty'!D727,"AAAAAFe0980=")</f>
        <v>#VALUE!</v>
      </c>
      <c r="GY31">
        <f>IF('Data Extract File Ty'!728:728,"AAAAAFe0984=",0)</f>
        <v>0</v>
      </c>
      <c r="GZ31" t="e">
        <f>AND('Data Extract File Ty'!A728,"AAAAAFe0988=")</f>
        <v>#VALUE!</v>
      </c>
      <c r="HA31" t="e">
        <f>AND('Data Extract File Ty'!B728,"AAAAAFe099A=")</f>
        <v>#VALUE!</v>
      </c>
      <c r="HB31" t="e">
        <f>AND('Data Extract File Ty'!C728,"AAAAAFe099E=")</f>
        <v>#VALUE!</v>
      </c>
      <c r="HC31" t="e">
        <f>AND('Data Extract File Ty'!D728,"AAAAAFe099I=")</f>
        <v>#VALUE!</v>
      </c>
      <c r="HD31">
        <f>IF('Data Extract File Ty'!729:729,"AAAAAFe099M=",0)</f>
        <v>0</v>
      </c>
      <c r="HE31" t="e">
        <f>AND('Data Extract File Ty'!A729,"AAAAAFe099Q=")</f>
        <v>#VALUE!</v>
      </c>
      <c r="HF31" t="e">
        <f>AND('Data Extract File Ty'!B729,"AAAAAFe099U=")</f>
        <v>#VALUE!</v>
      </c>
      <c r="HG31" t="e">
        <f>AND('Data Extract File Ty'!C729,"AAAAAFe099Y=")</f>
        <v>#VALUE!</v>
      </c>
      <c r="HH31" t="e">
        <f>AND('Data Extract File Ty'!D729,"AAAAAFe099c=")</f>
        <v>#VALUE!</v>
      </c>
      <c r="HI31">
        <f>IF('Data Extract File Ty'!730:730,"AAAAAFe099g=",0)</f>
        <v>0</v>
      </c>
      <c r="HJ31" t="e">
        <f>AND('Data Extract File Ty'!A730,"AAAAAFe099k=")</f>
        <v>#VALUE!</v>
      </c>
      <c r="HK31" t="e">
        <f>AND('Data Extract File Ty'!B730,"AAAAAFe099o=")</f>
        <v>#VALUE!</v>
      </c>
      <c r="HL31" t="e">
        <f>AND('Data Extract File Ty'!C730,"AAAAAFe099s=")</f>
        <v>#VALUE!</v>
      </c>
      <c r="HM31" t="e">
        <f>AND('Data Extract File Ty'!D730,"AAAAAFe099w=")</f>
        <v>#VALUE!</v>
      </c>
      <c r="HN31">
        <f>IF('Data Extract File Ty'!731:731,"AAAAAFe0990=",0)</f>
        <v>0</v>
      </c>
      <c r="HO31" t="e">
        <f>AND('Data Extract File Ty'!A731,"AAAAAFe0994=")</f>
        <v>#VALUE!</v>
      </c>
      <c r="HP31" t="e">
        <f>AND('Data Extract File Ty'!B731,"AAAAAFe0998=")</f>
        <v>#VALUE!</v>
      </c>
      <c r="HQ31" t="e">
        <f>AND('Data Extract File Ty'!C731,"AAAAAFe09+A=")</f>
        <v>#VALUE!</v>
      </c>
      <c r="HR31" t="e">
        <f>AND('Data Extract File Ty'!D731,"AAAAAFe09+E=")</f>
        <v>#VALUE!</v>
      </c>
      <c r="HS31">
        <f>IF('Data Extract File Ty'!732:732,"AAAAAFe09+I=",0)</f>
        <v>0</v>
      </c>
      <c r="HT31" t="e">
        <f>AND('Data Extract File Ty'!A732,"AAAAAFe09+M=")</f>
        <v>#VALUE!</v>
      </c>
      <c r="HU31" t="e">
        <f>AND('Data Extract File Ty'!B732,"AAAAAFe09+Q=")</f>
        <v>#VALUE!</v>
      </c>
      <c r="HV31" t="e">
        <f>AND('Data Extract File Ty'!C732,"AAAAAFe09+U=")</f>
        <v>#VALUE!</v>
      </c>
      <c r="HW31" t="e">
        <f>AND('Data Extract File Ty'!D732,"AAAAAFe09+Y=")</f>
        <v>#VALUE!</v>
      </c>
      <c r="HX31">
        <f>IF('Data Extract File Ty'!733:733,"AAAAAFe09+c=",0)</f>
        <v>0</v>
      </c>
      <c r="HY31" t="e">
        <f>AND('Data Extract File Ty'!A733,"AAAAAFe09+g=")</f>
        <v>#VALUE!</v>
      </c>
      <c r="HZ31" t="e">
        <f>AND('Data Extract File Ty'!B733,"AAAAAFe09+k=")</f>
        <v>#VALUE!</v>
      </c>
      <c r="IA31" t="e">
        <f>AND('Data Extract File Ty'!C733,"AAAAAFe09+o=")</f>
        <v>#VALUE!</v>
      </c>
      <c r="IB31" t="e">
        <f>AND('Data Extract File Ty'!D733,"AAAAAFe09+s=")</f>
        <v>#VALUE!</v>
      </c>
      <c r="IC31">
        <f>IF('Data Extract File Ty'!734:734,"AAAAAFe09+w=",0)</f>
        <v>0</v>
      </c>
      <c r="ID31" t="e">
        <f>AND('Data Extract File Ty'!A734,"AAAAAFe09+0=")</f>
        <v>#VALUE!</v>
      </c>
      <c r="IE31" t="e">
        <f>AND('Data Extract File Ty'!B734,"AAAAAFe09+4=")</f>
        <v>#VALUE!</v>
      </c>
      <c r="IF31" t="e">
        <f>AND('Data Extract File Ty'!C734,"AAAAAFe09+8=")</f>
        <v>#VALUE!</v>
      </c>
      <c r="IG31" t="e">
        <f>AND('Data Extract File Ty'!D734,"AAAAAFe09/A=")</f>
        <v>#VALUE!</v>
      </c>
      <c r="IH31">
        <f>IF('Data Extract File Ty'!735:735,"AAAAAFe09/E=",0)</f>
        <v>0</v>
      </c>
      <c r="II31" t="e">
        <f>AND('Data Extract File Ty'!A735,"AAAAAFe09/I=")</f>
        <v>#VALUE!</v>
      </c>
      <c r="IJ31" t="e">
        <f>AND('Data Extract File Ty'!B735,"AAAAAFe09/M=")</f>
        <v>#VALUE!</v>
      </c>
      <c r="IK31" t="e">
        <f>AND('Data Extract File Ty'!C735,"AAAAAFe09/Q=")</f>
        <v>#VALUE!</v>
      </c>
      <c r="IL31" t="e">
        <f>AND('Data Extract File Ty'!D735,"AAAAAFe09/U=")</f>
        <v>#VALUE!</v>
      </c>
      <c r="IM31">
        <f>IF('Data Extract File Ty'!736:736,"AAAAAFe09/Y=",0)</f>
        <v>0</v>
      </c>
      <c r="IN31" t="e">
        <f>AND('Data Extract File Ty'!A736,"AAAAAFe09/c=")</f>
        <v>#VALUE!</v>
      </c>
      <c r="IO31" t="e">
        <f>AND('Data Extract File Ty'!B736,"AAAAAFe09/g=")</f>
        <v>#VALUE!</v>
      </c>
      <c r="IP31" t="e">
        <f>AND('Data Extract File Ty'!C736,"AAAAAFe09/k=")</f>
        <v>#VALUE!</v>
      </c>
      <c r="IQ31" t="e">
        <f>AND('Data Extract File Ty'!D736,"AAAAAFe09/o=")</f>
        <v>#VALUE!</v>
      </c>
      <c r="IR31">
        <f>IF('Data Extract File Ty'!737:737,"AAAAAFe09/s=",0)</f>
        <v>0</v>
      </c>
      <c r="IS31" t="e">
        <f>AND('Data Extract File Ty'!A737,"AAAAAFe09/w=")</f>
        <v>#VALUE!</v>
      </c>
      <c r="IT31" t="e">
        <f>AND('Data Extract File Ty'!B737,"AAAAAFe09/0=")</f>
        <v>#VALUE!</v>
      </c>
      <c r="IU31" t="e">
        <f>AND('Data Extract File Ty'!C737,"AAAAAFe09/4=")</f>
        <v>#VALUE!</v>
      </c>
      <c r="IV31" t="e">
        <f>AND('Data Extract File Ty'!D737,"AAAAAFe09/8=")</f>
        <v>#VALUE!</v>
      </c>
    </row>
    <row r="32" spans="1:256" x14ac:dyDescent="0.2">
      <c r="A32" t="e">
        <f>IF('Data Extract File Ty'!738:738,"AAAAAHv3fwA=",0)</f>
        <v>#VALUE!</v>
      </c>
      <c r="B32" t="e">
        <f>AND('Data Extract File Ty'!A738,"AAAAAHv3fwE=")</f>
        <v>#VALUE!</v>
      </c>
      <c r="C32" t="e">
        <f>AND('Data Extract File Ty'!B738,"AAAAAHv3fwI=")</f>
        <v>#VALUE!</v>
      </c>
      <c r="D32" t="e">
        <f>AND('Data Extract File Ty'!C738,"AAAAAHv3fwM=")</f>
        <v>#VALUE!</v>
      </c>
      <c r="E32" t="e">
        <f>AND('Data Extract File Ty'!D738,"AAAAAHv3fwQ=")</f>
        <v>#VALUE!</v>
      </c>
      <c r="F32">
        <f>IF('Data Extract File Ty'!739:739,"AAAAAHv3fwU=",0)</f>
        <v>0</v>
      </c>
      <c r="G32" t="e">
        <f>AND('Data Extract File Ty'!A739,"AAAAAHv3fwY=")</f>
        <v>#VALUE!</v>
      </c>
      <c r="H32" t="e">
        <f>AND('Data Extract File Ty'!B739,"AAAAAHv3fwc=")</f>
        <v>#VALUE!</v>
      </c>
      <c r="I32" t="e">
        <f>AND('Data Extract File Ty'!C739,"AAAAAHv3fwg=")</f>
        <v>#VALUE!</v>
      </c>
      <c r="J32" t="e">
        <f>AND('Data Extract File Ty'!D739,"AAAAAHv3fwk=")</f>
        <v>#VALUE!</v>
      </c>
      <c r="K32">
        <f>IF('Data Extract File Ty'!740:740,"AAAAAHv3fwo=",0)</f>
        <v>0</v>
      </c>
      <c r="L32" t="e">
        <f>AND('Data Extract File Ty'!A740,"AAAAAHv3fws=")</f>
        <v>#VALUE!</v>
      </c>
      <c r="M32" t="e">
        <f>AND('Data Extract File Ty'!B740,"AAAAAHv3fww=")</f>
        <v>#VALUE!</v>
      </c>
      <c r="N32" t="e">
        <f>AND('Data Extract File Ty'!C740,"AAAAAHv3fw0=")</f>
        <v>#VALUE!</v>
      </c>
      <c r="O32" t="e">
        <f>AND('Data Extract File Ty'!D740,"AAAAAHv3fw4=")</f>
        <v>#VALUE!</v>
      </c>
      <c r="P32">
        <f>IF('Data Extract File Ty'!741:741,"AAAAAHv3fw8=",0)</f>
        <v>0</v>
      </c>
      <c r="Q32" t="e">
        <f>AND('Data Extract File Ty'!A741,"AAAAAHv3fxA=")</f>
        <v>#VALUE!</v>
      </c>
      <c r="R32" t="e">
        <f>AND('Data Extract File Ty'!B741,"AAAAAHv3fxE=")</f>
        <v>#VALUE!</v>
      </c>
      <c r="S32" t="e">
        <f>AND('Data Extract File Ty'!C741,"AAAAAHv3fxI=")</f>
        <v>#VALUE!</v>
      </c>
      <c r="T32" t="e">
        <f>AND('Data Extract File Ty'!D741,"AAAAAHv3fxM=")</f>
        <v>#VALUE!</v>
      </c>
      <c r="U32">
        <f>IF('Data Extract File Ty'!742:742,"AAAAAHv3fxQ=",0)</f>
        <v>0</v>
      </c>
      <c r="V32" t="e">
        <f>AND('Data Extract File Ty'!A742,"AAAAAHv3fxU=")</f>
        <v>#VALUE!</v>
      </c>
      <c r="W32" t="e">
        <f>AND('Data Extract File Ty'!B742,"AAAAAHv3fxY=")</f>
        <v>#VALUE!</v>
      </c>
      <c r="X32" t="e">
        <f>AND('Data Extract File Ty'!C742,"AAAAAHv3fxc=")</f>
        <v>#VALUE!</v>
      </c>
      <c r="Y32" t="e">
        <f>AND('Data Extract File Ty'!D742,"AAAAAHv3fxg=")</f>
        <v>#VALUE!</v>
      </c>
      <c r="Z32">
        <f>IF('Data Extract File Ty'!743:743,"AAAAAHv3fxk=",0)</f>
        <v>0</v>
      </c>
      <c r="AA32" t="e">
        <f>AND('Data Extract File Ty'!A743,"AAAAAHv3fxo=")</f>
        <v>#VALUE!</v>
      </c>
      <c r="AB32" t="e">
        <f>AND('Data Extract File Ty'!B743,"AAAAAHv3fxs=")</f>
        <v>#VALUE!</v>
      </c>
      <c r="AC32" t="e">
        <f>AND('Data Extract File Ty'!C743,"AAAAAHv3fxw=")</f>
        <v>#VALUE!</v>
      </c>
      <c r="AD32" t="e">
        <f>AND('Data Extract File Ty'!D743,"AAAAAHv3fx0=")</f>
        <v>#VALUE!</v>
      </c>
      <c r="AE32">
        <f>IF('Data Extract File Ty'!744:744,"AAAAAHv3fx4=",0)</f>
        <v>0</v>
      </c>
      <c r="AF32" t="e">
        <f>AND('Data Extract File Ty'!A744,"AAAAAHv3fx8=")</f>
        <v>#VALUE!</v>
      </c>
      <c r="AG32" t="e">
        <f>AND('Data Extract File Ty'!B744,"AAAAAHv3fyA=")</f>
        <v>#VALUE!</v>
      </c>
      <c r="AH32" t="e">
        <f>AND('Data Extract File Ty'!C744,"AAAAAHv3fyE=")</f>
        <v>#VALUE!</v>
      </c>
      <c r="AI32" t="e">
        <f>AND('Data Extract File Ty'!D744,"AAAAAHv3fyI=")</f>
        <v>#VALUE!</v>
      </c>
      <c r="AJ32">
        <f>IF('Data Extract File Ty'!745:745,"AAAAAHv3fyM=",0)</f>
        <v>0</v>
      </c>
      <c r="AK32" t="e">
        <f>AND('Data Extract File Ty'!A745,"AAAAAHv3fyQ=")</f>
        <v>#VALUE!</v>
      </c>
      <c r="AL32" t="e">
        <f>AND('Data Extract File Ty'!B745,"AAAAAHv3fyU=")</f>
        <v>#VALUE!</v>
      </c>
      <c r="AM32" t="e">
        <f>AND('Data Extract File Ty'!C745,"AAAAAHv3fyY=")</f>
        <v>#VALUE!</v>
      </c>
      <c r="AN32" t="e">
        <f>AND('Data Extract File Ty'!D745,"AAAAAHv3fyc=")</f>
        <v>#VALUE!</v>
      </c>
      <c r="AO32">
        <f>IF('Data Extract File Ty'!746:746,"AAAAAHv3fyg=",0)</f>
        <v>0</v>
      </c>
      <c r="AP32" t="e">
        <f>AND('Data Extract File Ty'!A746,"AAAAAHv3fyk=")</f>
        <v>#VALUE!</v>
      </c>
      <c r="AQ32" t="e">
        <f>AND('Data Extract File Ty'!B746,"AAAAAHv3fyo=")</f>
        <v>#VALUE!</v>
      </c>
      <c r="AR32" t="e">
        <f>AND('Data Extract File Ty'!C746,"AAAAAHv3fys=")</f>
        <v>#VALUE!</v>
      </c>
      <c r="AS32" t="e">
        <f>AND('Data Extract File Ty'!D746,"AAAAAHv3fyw=")</f>
        <v>#VALUE!</v>
      </c>
      <c r="AT32">
        <f>IF('Data Extract File Ty'!747:747,"AAAAAHv3fy0=",0)</f>
        <v>0</v>
      </c>
      <c r="AU32" t="e">
        <f>AND('Data Extract File Ty'!A747,"AAAAAHv3fy4=")</f>
        <v>#VALUE!</v>
      </c>
      <c r="AV32" t="e">
        <f>AND('Data Extract File Ty'!B747,"AAAAAHv3fy8=")</f>
        <v>#VALUE!</v>
      </c>
      <c r="AW32" t="e">
        <f>AND('Data Extract File Ty'!C747,"AAAAAHv3fzA=")</f>
        <v>#VALUE!</v>
      </c>
      <c r="AX32" t="e">
        <f>AND('Data Extract File Ty'!D747,"AAAAAHv3fzE=")</f>
        <v>#VALUE!</v>
      </c>
      <c r="AY32">
        <f>IF('Data Extract File Ty'!748:748,"AAAAAHv3fzI=",0)</f>
        <v>0</v>
      </c>
      <c r="AZ32" t="e">
        <f>AND('Data Extract File Ty'!A748,"AAAAAHv3fzM=")</f>
        <v>#VALUE!</v>
      </c>
      <c r="BA32" t="e">
        <f>AND('Data Extract File Ty'!B748,"AAAAAHv3fzQ=")</f>
        <v>#VALUE!</v>
      </c>
      <c r="BB32" t="e">
        <f>AND('Data Extract File Ty'!C748,"AAAAAHv3fzU=")</f>
        <v>#VALUE!</v>
      </c>
      <c r="BC32" t="e">
        <f>AND('Data Extract File Ty'!D748,"AAAAAHv3fzY=")</f>
        <v>#VALUE!</v>
      </c>
      <c r="BD32">
        <f>IF('Data Extract File Ty'!749:749,"AAAAAHv3fzc=",0)</f>
        <v>0</v>
      </c>
      <c r="BE32" t="e">
        <f>AND('Data Extract File Ty'!A749,"AAAAAHv3fzg=")</f>
        <v>#VALUE!</v>
      </c>
      <c r="BF32" t="e">
        <f>AND('Data Extract File Ty'!B749,"AAAAAHv3fzk=")</f>
        <v>#VALUE!</v>
      </c>
      <c r="BG32" t="e">
        <f>AND('Data Extract File Ty'!C749,"AAAAAHv3fzo=")</f>
        <v>#VALUE!</v>
      </c>
      <c r="BH32" t="e">
        <f>AND('Data Extract File Ty'!D749,"AAAAAHv3fzs=")</f>
        <v>#VALUE!</v>
      </c>
      <c r="BI32">
        <f>IF('Data Extract File Ty'!750:750,"AAAAAHv3fzw=",0)</f>
        <v>0</v>
      </c>
      <c r="BJ32" t="e">
        <f>AND('Data Extract File Ty'!A750,"AAAAAHv3fz0=")</f>
        <v>#VALUE!</v>
      </c>
      <c r="BK32" t="e">
        <f>AND('Data Extract File Ty'!B750,"AAAAAHv3fz4=")</f>
        <v>#VALUE!</v>
      </c>
      <c r="BL32" t="e">
        <f>AND('Data Extract File Ty'!C750,"AAAAAHv3fz8=")</f>
        <v>#VALUE!</v>
      </c>
      <c r="BM32" t="e">
        <f>AND('Data Extract File Ty'!D750,"AAAAAHv3f0A=")</f>
        <v>#VALUE!</v>
      </c>
      <c r="BN32">
        <f>IF('Data Extract File Ty'!751:751,"AAAAAHv3f0E=",0)</f>
        <v>0</v>
      </c>
      <c r="BO32" t="e">
        <f>AND('Data Extract File Ty'!A751,"AAAAAHv3f0I=")</f>
        <v>#VALUE!</v>
      </c>
      <c r="BP32" t="e">
        <f>AND('Data Extract File Ty'!B751,"AAAAAHv3f0M=")</f>
        <v>#VALUE!</v>
      </c>
      <c r="BQ32" t="e">
        <f>AND('Data Extract File Ty'!C751,"AAAAAHv3f0Q=")</f>
        <v>#VALUE!</v>
      </c>
      <c r="BR32" t="e">
        <f>AND('Data Extract File Ty'!D751,"AAAAAHv3f0U=")</f>
        <v>#VALUE!</v>
      </c>
      <c r="BS32">
        <f>IF('Data Extract File Ty'!752:752,"AAAAAHv3f0Y=",0)</f>
        <v>0</v>
      </c>
      <c r="BT32" t="e">
        <f>AND('Data Extract File Ty'!A752,"AAAAAHv3f0c=")</f>
        <v>#VALUE!</v>
      </c>
      <c r="BU32" t="e">
        <f>AND('Data Extract File Ty'!B752,"AAAAAHv3f0g=")</f>
        <v>#VALUE!</v>
      </c>
      <c r="BV32" t="e">
        <f>AND('Data Extract File Ty'!C752,"AAAAAHv3f0k=")</f>
        <v>#VALUE!</v>
      </c>
      <c r="BW32" t="e">
        <f>AND('Data Extract File Ty'!D752,"AAAAAHv3f0o=")</f>
        <v>#VALUE!</v>
      </c>
      <c r="BX32">
        <f>IF('Data Extract File Ty'!753:753,"AAAAAHv3f0s=",0)</f>
        <v>0</v>
      </c>
      <c r="BY32" t="e">
        <f>AND('Data Extract File Ty'!A753,"AAAAAHv3f0w=")</f>
        <v>#VALUE!</v>
      </c>
      <c r="BZ32" t="e">
        <f>AND('Data Extract File Ty'!B753,"AAAAAHv3f00=")</f>
        <v>#VALUE!</v>
      </c>
      <c r="CA32" t="e">
        <f>AND('Data Extract File Ty'!C753,"AAAAAHv3f04=")</f>
        <v>#VALUE!</v>
      </c>
      <c r="CB32" t="e">
        <f>AND('Data Extract File Ty'!D753,"AAAAAHv3f08=")</f>
        <v>#VALUE!</v>
      </c>
      <c r="CC32">
        <f>IF('Data Extract File Ty'!754:754,"AAAAAHv3f1A=",0)</f>
        <v>0</v>
      </c>
      <c r="CD32" t="e">
        <f>AND('Data Extract File Ty'!A754,"AAAAAHv3f1E=")</f>
        <v>#VALUE!</v>
      </c>
      <c r="CE32" t="e">
        <f>AND('Data Extract File Ty'!B754,"AAAAAHv3f1I=")</f>
        <v>#VALUE!</v>
      </c>
      <c r="CF32" t="e">
        <f>AND('Data Extract File Ty'!C754,"AAAAAHv3f1M=")</f>
        <v>#VALUE!</v>
      </c>
      <c r="CG32" t="e">
        <f>AND('Data Extract File Ty'!D754,"AAAAAHv3f1Q=")</f>
        <v>#VALUE!</v>
      </c>
      <c r="CH32">
        <f>IF('Data Extract File Ty'!755:755,"AAAAAHv3f1U=",0)</f>
        <v>0</v>
      </c>
      <c r="CI32" t="e">
        <f>AND('Data Extract File Ty'!A755,"AAAAAHv3f1Y=")</f>
        <v>#VALUE!</v>
      </c>
      <c r="CJ32" t="e">
        <f>AND('Data Extract File Ty'!B755,"AAAAAHv3f1c=")</f>
        <v>#VALUE!</v>
      </c>
      <c r="CK32" t="e">
        <f>AND('Data Extract File Ty'!C755,"AAAAAHv3f1g=")</f>
        <v>#VALUE!</v>
      </c>
      <c r="CL32" t="e">
        <f>AND('Data Extract File Ty'!D755,"AAAAAHv3f1k=")</f>
        <v>#VALUE!</v>
      </c>
      <c r="CM32">
        <f>IF('Data Extract File Ty'!756:756,"AAAAAHv3f1o=",0)</f>
        <v>0</v>
      </c>
      <c r="CN32" t="e">
        <f>AND('Data Extract File Ty'!A756,"AAAAAHv3f1s=")</f>
        <v>#VALUE!</v>
      </c>
      <c r="CO32" t="e">
        <f>AND('Data Extract File Ty'!B756,"AAAAAHv3f1w=")</f>
        <v>#VALUE!</v>
      </c>
      <c r="CP32" t="e">
        <f>AND('Data Extract File Ty'!C756,"AAAAAHv3f10=")</f>
        <v>#VALUE!</v>
      </c>
      <c r="CQ32" t="e">
        <f>AND('Data Extract File Ty'!D756,"AAAAAHv3f14=")</f>
        <v>#VALUE!</v>
      </c>
      <c r="CR32">
        <f>IF('Data Extract File Ty'!757:757,"AAAAAHv3f18=",0)</f>
        <v>0</v>
      </c>
      <c r="CS32" t="e">
        <f>AND('Data Extract File Ty'!A757,"AAAAAHv3f2A=")</f>
        <v>#VALUE!</v>
      </c>
      <c r="CT32" t="e">
        <f>AND('Data Extract File Ty'!B757,"AAAAAHv3f2E=")</f>
        <v>#VALUE!</v>
      </c>
      <c r="CU32" t="e">
        <f>AND('Data Extract File Ty'!C757,"AAAAAHv3f2I=")</f>
        <v>#VALUE!</v>
      </c>
      <c r="CV32" t="e">
        <f>AND('Data Extract File Ty'!D757,"AAAAAHv3f2M=")</f>
        <v>#VALUE!</v>
      </c>
      <c r="CW32">
        <f>IF('Data Extract File Ty'!758:758,"AAAAAHv3f2Q=",0)</f>
        <v>0</v>
      </c>
      <c r="CX32" t="e">
        <f>AND('Data Extract File Ty'!A758,"AAAAAHv3f2U=")</f>
        <v>#VALUE!</v>
      </c>
      <c r="CY32" t="e">
        <f>AND('Data Extract File Ty'!B758,"AAAAAHv3f2Y=")</f>
        <v>#VALUE!</v>
      </c>
      <c r="CZ32" t="e">
        <f>AND('Data Extract File Ty'!C758,"AAAAAHv3f2c=")</f>
        <v>#VALUE!</v>
      </c>
      <c r="DA32" t="e">
        <f>AND('Data Extract File Ty'!D758,"AAAAAHv3f2g=")</f>
        <v>#VALUE!</v>
      </c>
      <c r="DB32">
        <f>IF('Data Extract File Ty'!759:759,"AAAAAHv3f2k=",0)</f>
        <v>0</v>
      </c>
      <c r="DC32" t="e">
        <f>AND('Data Extract File Ty'!A759,"AAAAAHv3f2o=")</f>
        <v>#VALUE!</v>
      </c>
      <c r="DD32" t="e">
        <f>AND('Data Extract File Ty'!B759,"AAAAAHv3f2s=")</f>
        <v>#VALUE!</v>
      </c>
      <c r="DE32" t="e">
        <f>AND('Data Extract File Ty'!C759,"AAAAAHv3f2w=")</f>
        <v>#VALUE!</v>
      </c>
      <c r="DF32" t="e">
        <f>AND('Data Extract File Ty'!D759,"AAAAAHv3f20=")</f>
        <v>#VALUE!</v>
      </c>
      <c r="DG32">
        <f>IF('Data Extract File Ty'!760:760,"AAAAAHv3f24=",0)</f>
        <v>0</v>
      </c>
      <c r="DH32" t="e">
        <f>AND('Data Extract File Ty'!A760,"AAAAAHv3f28=")</f>
        <v>#VALUE!</v>
      </c>
      <c r="DI32" t="e">
        <f>AND('Data Extract File Ty'!B760,"AAAAAHv3f3A=")</f>
        <v>#VALUE!</v>
      </c>
      <c r="DJ32" t="e">
        <f>AND('Data Extract File Ty'!C760,"AAAAAHv3f3E=")</f>
        <v>#VALUE!</v>
      </c>
      <c r="DK32" t="e">
        <f>AND('Data Extract File Ty'!D760,"AAAAAHv3f3I=")</f>
        <v>#VALUE!</v>
      </c>
      <c r="DL32">
        <f>IF('Data Extract File Ty'!761:761,"AAAAAHv3f3M=",0)</f>
        <v>0</v>
      </c>
      <c r="DM32" t="e">
        <f>AND('Data Extract File Ty'!A761,"AAAAAHv3f3Q=")</f>
        <v>#VALUE!</v>
      </c>
      <c r="DN32" t="e">
        <f>AND('Data Extract File Ty'!B761,"AAAAAHv3f3U=")</f>
        <v>#VALUE!</v>
      </c>
      <c r="DO32" t="e">
        <f>AND('Data Extract File Ty'!C761,"AAAAAHv3f3Y=")</f>
        <v>#VALUE!</v>
      </c>
      <c r="DP32" t="e">
        <f>AND('Data Extract File Ty'!D761,"AAAAAHv3f3c=")</f>
        <v>#VALUE!</v>
      </c>
      <c r="DQ32">
        <f>IF('Data Extract File Ty'!762:762,"AAAAAHv3f3g=",0)</f>
        <v>0</v>
      </c>
      <c r="DR32" t="e">
        <f>AND('Data Extract File Ty'!A762,"AAAAAHv3f3k=")</f>
        <v>#VALUE!</v>
      </c>
      <c r="DS32" t="e">
        <f>AND('Data Extract File Ty'!B762,"AAAAAHv3f3o=")</f>
        <v>#VALUE!</v>
      </c>
      <c r="DT32" t="e">
        <f>AND('Data Extract File Ty'!C762,"AAAAAHv3f3s=")</f>
        <v>#VALUE!</v>
      </c>
      <c r="DU32" t="e">
        <f>AND('Data Extract File Ty'!D762,"AAAAAHv3f3w=")</f>
        <v>#VALUE!</v>
      </c>
      <c r="DV32">
        <f>IF('Data Extract File Ty'!763:763,"AAAAAHv3f30=",0)</f>
        <v>0</v>
      </c>
      <c r="DW32" t="e">
        <f>AND('Data Extract File Ty'!A763,"AAAAAHv3f34=")</f>
        <v>#VALUE!</v>
      </c>
      <c r="DX32" t="e">
        <f>AND('Data Extract File Ty'!B763,"AAAAAHv3f38=")</f>
        <v>#VALUE!</v>
      </c>
      <c r="DY32" t="e">
        <f>AND('Data Extract File Ty'!C763,"AAAAAHv3f4A=")</f>
        <v>#VALUE!</v>
      </c>
      <c r="DZ32" t="e">
        <f>AND('Data Extract File Ty'!D763,"AAAAAHv3f4E=")</f>
        <v>#VALUE!</v>
      </c>
      <c r="EA32">
        <f>IF('Data Extract File Ty'!764:764,"AAAAAHv3f4I=",0)</f>
        <v>0</v>
      </c>
      <c r="EB32" t="e">
        <f>AND('Data Extract File Ty'!A764,"AAAAAHv3f4M=")</f>
        <v>#VALUE!</v>
      </c>
      <c r="EC32" t="e">
        <f>AND('Data Extract File Ty'!B764,"AAAAAHv3f4Q=")</f>
        <v>#VALUE!</v>
      </c>
      <c r="ED32" t="e">
        <f>AND('Data Extract File Ty'!C764,"AAAAAHv3f4U=")</f>
        <v>#VALUE!</v>
      </c>
      <c r="EE32" t="e">
        <f>AND('Data Extract File Ty'!D764,"AAAAAHv3f4Y=")</f>
        <v>#VALUE!</v>
      </c>
      <c r="EF32">
        <f>IF('Data Extract File Ty'!765:765,"AAAAAHv3f4c=",0)</f>
        <v>0</v>
      </c>
      <c r="EG32" t="e">
        <f>AND('Data Extract File Ty'!A765,"AAAAAHv3f4g=")</f>
        <v>#VALUE!</v>
      </c>
      <c r="EH32" t="e">
        <f>AND('Data Extract File Ty'!B765,"AAAAAHv3f4k=")</f>
        <v>#VALUE!</v>
      </c>
      <c r="EI32" t="e">
        <f>AND('Data Extract File Ty'!C765,"AAAAAHv3f4o=")</f>
        <v>#VALUE!</v>
      </c>
      <c r="EJ32" t="e">
        <f>AND('Data Extract File Ty'!D765,"AAAAAHv3f4s=")</f>
        <v>#VALUE!</v>
      </c>
      <c r="EK32">
        <f>IF('Data Extract File Ty'!766:766,"AAAAAHv3f4w=",0)</f>
        <v>0</v>
      </c>
      <c r="EL32" t="e">
        <f>AND('Data Extract File Ty'!A766,"AAAAAHv3f40=")</f>
        <v>#VALUE!</v>
      </c>
      <c r="EM32" t="e">
        <f>AND('Data Extract File Ty'!B766,"AAAAAHv3f44=")</f>
        <v>#VALUE!</v>
      </c>
      <c r="EN32" t="e">
        <f>AND('Data Extract File Ty'!C766,"AAAAAHv3f48=")</f>
        <v>#VALUE!</v>
      </c>
      <c r="EO32" t="e">
        <f>AND('Data Extract File Ty'!D766,"AAAAAHv3f5A=")</f>
        <v>#VALUE!</v>
      </c>
      <c r="EP32">
        <f>IF('Data Extract File Ty'!767:767,"AAAAAHv3f5E=",0)</f>
        <v>0</v>
      </c>
      <c r="EQ32" t="e">
        <f>AND('Data Extract File Ty'!A767,"AAAAAHv3f5I=")</f>
        <v>#VALUE!</v>
      </c>
      <c r="ER32" t="e">
        <f>AND('Data Extract File Ty'!B767,"AAAAAHv3f5M=")</f>
        <v>#VALUE!</v>
      </c>
      <c r="ES32" t="e">
        <f>AND('Data Extract File Ty'!C767,"AAAAAHv3f5Q=")</f>
        <v>#VALUE!</v>
      </c>
      <c r="ET32" t="e">
        <f>AND('Data Extract File Ty'!D767,"AAAAAHv3f5U=")</f>
        <v>#VALUE!</v>
      </c>
      <c r="EU32">
        <f>IF('Data Extract File Ty'!768:768,"AAAAAHv3f5Y=",0)</f>
        <v>0</v>
      </c>
      <c r="EV32" t="e">
        <f>AND('Data Extract File Ty'!A768,"AAAAAHv3f5c=")</f>
        <v>#VALUE!</v>
      </c>
      <c r="EW32" t="e">
        <f>AND('Data Extract File Ty'!B768,"AAAAAHv3f5g=")</f>
        <v>#VALUE!</v>
      </c>
      <c r="EX32" t="e">
        <f>AND('Data Extract File Ty'!C768,"AAAAAHv3f5k=")</f>
        <v>#VALUE!</v>
      </c>
      <c r="EY32" t="e">
        <f>AND('Data Extract File Ty'!D768,"AAAAAHv3f5o=")</f>
        <v>#VALUE!</v>
      </c>
      <c r="EZ32">
        <f>IF('Data Extract File Ty'!769:769,"AAAAAHv3f5s=",0)</f>
        <v>0</v>
      </c>
      <c r="FA32" t="e">
        <f>AND('Data Extract File Ty'!A769,"AAAAAHv3f5w=")</f>
        <v>#VALUE!</v>
      </c>
      <c r="FB32" t="e">
        <f>AND('Data Extract File Ty'!B769,"AAAAAHv3f50=")</f>
        <v>#VALUE!</v>
      </c>
      <c r="FC32" t="e">
        <f>AND('Data Extract File Ty'!C769,"AAAAAHv3f54=")</f>
        <v>#VALUE!</v>
      </c>
      <c r="FD32" t="e">
        <f>AND('Data Extract File Ty'!D769,"AAAAAHv3f58=")</f>
        <v>#VALUE!</v>
      </c>
      <c r="FE32">
        <f>IF('Data Extract File Ty'!770:770,"AAAAAHv3f6A=",0)</f>
        <v>0</v>
      </c>
      <c r="FF32" t="e">
        <f>AND('Data Extract File Ty'!A770,"AAAAAHv3f6E=")</f>
        <v>#VALUE!</v>
      </c>
      <c r="FG32" t="e">
        <f>AND('Data Extract File Ty'!B770,"AAAAAHv3f6I=")</f>
        <v>#VALUE!</v>
      </c>
      <c r="FH32" t="e">
        <f>AND('Data Extract File Ty'!C770,"AAAAAHv3f6M=")</f>
        <v>#VALUE!</v>
      </c>
      <c r="FI32" t="e">
        <f>AND('Data Extract File Ty'!D770,"AAAAAHv3f6Q=")</f>
        <v>#VALUE!</v>
      </c>
      <c r="FJ32">
        <f>IF('Data Extract File Ty'!771:771,"AAAAAHv3f6U=",0)</f>
        <v>0</v>
      </c>
      <c r="FK32" t="e">
        <f>AND('Data Extract File Ty'!A771,"AAAAAHv3f6Y=")</f>
        <v>#VALUE!</v>
      </c>
      <c r="FL32" t="e">
        <f>AND('Data Extract File Ty'!B771,"AAAAAHv3f6c=")</f>
        <v>#VALUE!</v>
      </c>
      <c r="FM32" t="e">
        <f>AND('Data Extract File Ty'!C771,"AAAAAHv3f6g=")</f>
        <v>#VALUE!</v>
      </c>
      <c r="FN32" t="e">
        <f>AND('Data Extract File Ty'!D771,"AAAAAHv3f6k=")</f>
        <v>#VALUE!</v>
      </c>
      <c r="FO32">
        <f>IF('Data Extract File Ty'!772:772,"AAAAAHv3f6o=",0)</f>
        <v>0</v>
      </c>
      <c r="FP32" t="e">
        <f>AND('Data Extract File Ty'!A772,"AAAAAHv3f6s=")</f>
        <v>#VALUE!</v>
      </c>
      <c r="FQ32" t="e">
        <f>AND('Data Extract File Ty'!B772,"AAAAAHv3f6w=")</f>
        <v>#VALUE!</v>
      </c>
      <c r="FR32" t="e">
        <f>AND('Data Extract File Ty'!C772,"AAAAAHv3f60=")</f>
        <v>#VALUE!</v>
      </c>
      <c r="FS32" t="e">
        <f>AND('Data Extract File Ty'!D772,"AAAAAHv3f64=")</f>
        <v>#VALUE!</v>
      </c>
      <c r="FT32">
        <f>IF('Data Extract File Ty'!773:773,"AAAAAHv3f68=",0)</f>
        <v>0</v>
      </c>
      <c r="FU32" t="e">
        <f>AND('Data Extract File Ty'!A773,"AAAAAHv3f7A=")</f>
        <v>#VALUE!</v>
      </c>
      <c r="FV32" t="e">
        <f>AND('Data Extract File Ty'!B773,"AAAAAHv3f7E=")</f>
        <v>#VALUE!</v>
      </c>
      <c r="FW32" t="e">
        <f>AND('Data Extract File Ty'!C773,"AAAAAHv3f7I=")</f>
        <v>#VALUE!</v>
      </c>
      <c r="FX32" t="e">
        <f>AND('Data Extract File Ty'!D773,"AAAAAHv3f7M=")</f>
        <v>#VALUE!</v>
      </c>
      <c r="FY32">
        <f>IF('Data Extract File Ty'!774:774,"AAAAAHv3f7Q=",0)</f>
        <v>0</v>
      </c>
      <c r="FZ32" t="e">
        <f>AND('Data Extract File Ty'!A774,"AAAAAHv3f7U=")</f>
        <v>#VALUE!</v>
      </c>
      <c r="GA32" t="e">
        <f>AND('Data Extract File Ty'!B774,"AAAAAHv3f7Y=")</f>
        <v>#VALUE!</v>
      </c>
      <c r="GB32" t="e">
        <f>AND('Data Extract File Ty'!C774,"AAAAAHv3f7c=")</f>
        <v>#VALUE!</v>
      </c>
      <c r="GC32" t="e">
        <f>AND('Data Extract File Ty'!D774,"AAAAAHv3f7g=")</f>
        <v>#VALUE!</v>
      </c>
      <c r="GD32">
        <f>IF('Data Extract File Ty'!775:775,"AAAAAHv3f7k=",0)</f>
        <v>0</v>
      </c>
      <c r="GE32" t="e">
        <f>AND('Data Extract File Ty'!A775,"AAAAAHv3f7o=")</f>
        <v>#VALUE!</v>
      </c>
      <c r="GF32" t="e">
        <f>AND('Data Extract File Ty'!B775,"AAAAAHv3f7s=")</f>
        <v>#VALUE!</v>
      </c>
      <c r="GG32" t="e">
        <f>AND('Data Extract File Ty'!C775,"AAAAAHv3f7w=")</f>
        <v>#VALUE!</v>
      </c>
      <c r="GH32" t="e">
        <f>AND('Data Extract File Ty'!D775,"AAAAAHv3f70=")</f>
        <v>#VALUE!</v>
      </c>
      <c r="GI32">
        <f>IF('Data Extract File Ty'!776:776,"AAAAAHv3f74=",0)</f>
        <v>0</v>
      </c>
      <c r="GJ32" t="e">
        <f>AND('Data Extract File Ty'!A776,"AAAAAHv3f78=")</f>
        <v>#VALUE!</v>
      </c>
      <c r="GK32" t="e">
        <f>AND('Data Extract File Ty'!B776,"AAAAAHv3f8A=")</f>
        <v>#VALUE!</v>
      </c>
      <c r="GL32" t="e">
        <f>AND('Data Extract File Ty'!C776,"AAAAAHv3f8E=")</f>
        <v>#VALUE!</v>
      </c>
      <c r="GM32" t="e">
        <f>AND('Data Extract File Ty'!D776,"AAAAAHv3f8I=")</f>
        <v>#VALUE!</v>
      </c>
      <c r="GN32">
        <f>IF('Data Extract File Ty'!777:777,"AAAAAHv3f8M=",0)</f>
        <v>0</v>
      </c>
      <c r="GO32" t="e">
        <f>AND('Data Extract File Ty'!A777,"AAAAAHv3f8Q=")</f>
        <v>#VALUE!</v>
      </c>
      <c r="GP32" t="e">
        <f>AND('Data Extract File Ty'!B777,"AAAAAHv3f8U=")</f>
        <v>#VALUE!</v>
      </c>
      <c r="GQ32" t="e">
        <f>AND('Data Extract File Ty'!C777,"AAAAAHv3f8Y=")</f>
        <v>#VALUE!</v>
      </c>
      <c r="GR32" t="e">
        <f>AND('Data Extract File Ty'!D777,"AAAAAHv3f8c=")</f>
        <v>#VALUE!</v>
      </c>
      <c r="GS32">
        <f>IF('Data Extract File Ty'!778:778,"AAAAAHv3f8g=",0)</f>
        <v>0</v>
      </c>
      <c r="GT32" t="e">
        <f>AND('Data Extract File Ty'!A778,"AAAAAHv3f8k=")</f>
        <v>#VALUE!</v>
      </c>
      <c r="GU32" t="e">
        <f>AND('Data Extract File Ty'!B778,"AAAAAHv3f8o=")</f>
        <v>#VALUE!</v>
      </c>
      <c r="GV32" t="e">
        <f>AND('Data Extract File Ty'!C778,"AAAAAHv3f8s=")</f>
        <v>#VALUE!</v>
      </c>
      <c r="GW32" t="e">
        <f>AND('Data Extract File Ty'!D778,"AAAAAHv3f8w=")</f>
        <v>#VALUE!</v>
      </c>
      <c r="GX32">
        <f>IF('Data Extract File Ty'!779:779,"AAAAAHv3f80=",0)</f>
        <v>0</v>
      </c>
      <c r="GY32" t="e">
        <f>AND('Data Extract File Ty'!A779,"AAAAAHv3f84=")</f>
        <v>#VALUE!</v>
      </c>
      <c r="GZ32" t="e">
        <f>AND('Data Extract File Ty'!B779,"AAAAAHv3f88=")</f>
        <v>#VALUE!</v>
      </c>
      <c r="HA32" t="e">
        <f>AND('Data Extract File Ty'!C779,"AAAAAHv3f9A=")</f>
        <v>#VALUE!</v>
      </c>
      <c r="HB32" t="e">
        <f>AND('Data Extract File Ty'!D779,"AAAAAHv3f9E=")</f>
        <v>#VALUE!</v>
      </c>
      <c r="HC32">
        <f>IF('Data Extract File Ty'!780:780,"AAAAAHv3f9I=",0)</f>
        <v>0</v>
      </c>
      <c r="HD32" t="e">
        <f>AND('Data Extract File Ty'!A780,"AAAAAHv3f9M=")</f>
        <v>#VALUE!</v>
      </c>
      <c r="HE32" t="e">
        <f>AND('Data Extract File Ty'!B780,"AAAAAHv3f9Q=")</f>
        <v>#VALUE!</v>
      </c>
      <c r="HF32" t="e">
        <f>AND('Data Extract File Ty'!C780,"AAAAAHv3f9U=")</f>
        <v>#VALUE!</v>
      </c>
      <c r="HG32" t="e">
        <f>AND('Data Extract File Ty'!D780,"AAAAAHv3f9Y=")</f>
        <v>#VALUE!</v>
      </c>
      <c r="HH32">
        <f>IF('Data Extract File Ty'!781:781,"AAAAAHv3f9c=",0)</f>
        <v>0</v>
      </c>
      <c r="HI32" t="e">
        <f>AND('Data Extract File Ty'!A781,"AAAAAHv3f9g=")</f>
        <v>#VALUE!</v>
      </c>
      <c r="HJ32" t="e">
        <f>AND('Data Extract File Ty'!B781,"AAAAAHv3f9k=")</f>
        <v>#VALUE!</v>
      </c>
      <c r="HK32" t="e">
        <f>AND('Data Extract File Ty'!C781,"AAAAAHv3f9o=")</f>
        <v>#VALUE!</v>
      </c>
      <c r="HL32" t="e">
        <f>AND('Data Extract File Ty'!D781,"AAAAAHv3f9s=")</f>
        <v>#VALUE!</v>
      </c>
      <c r="HM32">
        <f>IF('Data Extract File Ty'!782:782,"AAAAAHv3f9w=",0)</f>
        <v>0</v>
      </c>
      <c r="HN32" t="e">
        <f>AND('Data Extract File Ty'!A782,"AAAAAHv3f90=")</f>
        <v>#VALUE!</v>
      </c>
      <c r="HO32" t="e">
        <f>AND('Data Extract File Ty'!B782,"AAAAAHv3f94=")</f>
        <v>#VALUE!</v>
      </c>
      <c r="HP32" t="e">
        <f>AND('Data Extract File Ty'!C782,"AAAAAHv3f98=")</f>
        <v>#VALUE!</v>
      </c>
      <c r="HQ32" t="e">
        <f>AND('Data Extract File Ty'!D782,"AAAAAHv3f+A=")</f>
        <v>#VALUE!</v>
      </c>
      <c r="HR32">
        <f>IF('Data Extract File Ty'!783:783,"AAAAAHv3f+E=",0)</f>
        <v>0</v>
      </c>
      <c r="HS32" t="e">
        <f>AND('Data Extract File Ty'!A783,"AAAAAHv3f+I=")</f>
        <v>#VALUE!</v>
      </c>
      <c r="HT32" t="e">
        <f>AND('Data Extract File Ty'!B783,"AAAAAHv3f+M=")</f>
        <v>#VALUE!</v>
      </c>
      <c r="HU32" t="e">
        <f>AND('Data Extract File Ty'!C783,"AAAAAHv3f+Q=")</f>
        <v>#VALUE!</v>
      </c>
      <c r="HV32" t="e">
        <f>AND('Data Extract File Ty'!D783,"AAAAAHv3f+U=")</f>
        <v>#VALUE!</v>
      </c>
      <c r="HW32">
        <f>IF('Data Extract File Ty'!784:784,"AAAAAHv3f+Y=",0)</f>
        <v>0</v>
      </c>
      <c r="HX32" t="e">
        <f>AND('Data Extract File Ty'!A784,"AAAAAHv3f+c=")</f>
        <v>#VALUE!</v>
      </c>
      <c r="HY32" t="e">
        <f>AND('Data Extract File Ty'!B784,"AAAAAHv3f+g=")</f>
        <v>#VALUE!</v>
      </c>
      <c r="HZ32" t="e">
        <f>AND('Data Extract File Ty'!C784,"AAAAAHv3f+k=")</f>
        <v>#VALUE!</v>
      </c>
      <c r="IA32" t="e">
        <f>AND('Data Extract File Ty'!D784,"AAAAAHv3f+o=")</f>
        <v>#VALUE!</v>
      </c>
      <c r="IB32">
        <f>IF('Data Extract File Ty'!785:785,"AAAAAHv3f+s=",0)</f>
        <v>0</v>
      </c>
      <c r="IC32" t="e">
        <f>AND('Data Extract File Ty'!A785,"AAAAAHv3f+w=")</f>
        <v>#VALUE!</v>
      </c>
      <c r="ID32" t="e">
        <f>AND('Data Extract File Ty'!B785,"AAAAAHv3f+0=")</f>
        <v>#VALUE!</v>
      </c>
      <c r="IE32" t="e">
        <f>AND('Data Extract File Ty'!C785,"AAAAAHv3f+4=")</f>
        <v>#VALUE!</v>
      </c>
      <c r="IF32" t="e">
        <f>AND('Data Extract File Ty'!D785,"AAAAAHv3f+8=")</f>
        <v>#VALUE!</v>
      </c>
      <c r="IG32">
        <f>IF('Data Extract File Ty'!786:786,"AAAAAHv3f/A=",0)</f>
        <v>0</v>
      </c>
      <c r="IH32" t="e">
        <f>AND('Data Extract File Ty'!A786,"AAAAAHv3f/E=")</f>
        <v>#VALUE!</v>
      </c>
      <c r="II32" t="e">
        <f>AND('Data Extract File Ty'!B786,"AAAAAHv3f/I=")</f>
        <v>#VALUE!</v>
      </c>
      <c r="IJ32" t="e">
        <f>AND('Data Extract File Ty'!C786,"AAAAAHv3f/M=")</f>
        <v>#VALUE!</v>
      </c>
      <c r="IK32" t="e">
        <f>AND('Data Extract File Ty'!D786,"AAAAAHv3f/Q=")</f>
        <v>#VALUE!</v>
      </c>
      <c r="IL32">
        <f>IF('Data Extract File Ty'!787:787,"AAAAAHv3f/U=",0)</f>
        <v>0</v>
      </c>
      <c r="IM32" t="e">
        <f>AND('Data Extract File Ty'!A787,"AAAAAHv3f/Y=")</f>
        <v>#VALUE!</v>
      </c>
      <c r="IN32" t="e">
        <f>AND('Data Extract File Ty'!B787,"AAAAAHv3f/c=")</f>
        <v>#VALUE!</v>
      </c>
      <c r="IO32" t="e">
        <f>AND('Data Extract File Ty'!C787,"AAAAAHv3f/g=")</f>
        <v>#VALUE!</v>
      </c>
      <c r="IP32" t="e">
        <f>AND('Data Extract File Ty'!D787,"AAAAAHv3f/k=")</f>
        <v>#VALUE!</v>
      </c>
      <c r="IQ32">
        <f>IF('Data Extract File Ty'!788:788,"AAAAAHv3f/o=",0)</f>
        <v>0</v>
      </c>
      <c r="IR32" t="e">
        <f>AND('Data Extract File Ty'!A788,"AAAAAHv3f/s=")</f>
        <v>#VALUE!</v>
      </c>
      <c r="IS32" t="e">
        <f>AND('Data Extract File Ty'!B788,"AAAAAHv3f/w=")</f>
        <v>#VALUE!</v>
      </c>
      <c r="IT32" t="e">
        <f>AND('Data Extract File Ty'!C788,"AAAAAHv3f/0=")</f>
        <v>#VALUE!</v>
      </c>
      <c r="IU32" t="e">
        <f>AND('Data Extract File Ty'!D788,"AAAAAHv3f/4=")</f>
        <v>#VALUE!</v>
      </c>
      <c r="IV32">
        <f>IF('Data Extract File Ty'!789:789,"AAAAAHv3f/8=",0)</f>
        <v>0</v>
      </c>
    </row>
    <row r="33" spans="1:71" x14ac:dyDescent="0.2">
      <c r="A33" t="e">
        <f>AND('Data Extract File Ty'!A789,"AAAAAFjNfwA=")</f>
        <v>#VALUE!</v>
      </c>
      <c r="B33" t="e">
        <f>AND('Data Extract File Ty'!B789,"AAAAAFjNfwE=")</f>
        <v>#VALUE!</v>
      </c>
      <c r="C33" t="e">
        <f>AND('Data Extract File Ty'!C789,"AAAAAFjNfwI=")</f>
        <v>#VALUE!</v>
      </c>
      <c r="D33" t="e">
        <f>AND('Data Extract File Ty'!D789,"AAAAAFjNfwM=")</f>
        <v>#VALUE!</v>
      </c>
      <c r="E33">
        <f>IF('Data Extract File Ty'!790:790,"AAAAAFjNfwQ=",0)</f>
        <v>0</v>
      </c>
      <c r="F33" t="e">
        <f>AND('Data Extract File Ty'!A790,"AAAAAFjNfwU=")</f>
        <v>#VALUE!</v>
      </c>
      <c r="G33" t="e">
        <f>AND('Data Extract File Ty'!B790,"AAAAAFjNfwY=")</f>
        <v>#VALUE!</v>
      </c>
      <c r="H33" t="e">
        <f>AND('Data Extract File Ty'!C790,"AAAAAFjNfwc=")</f>
        <v>#VALUE!</v>
      </c>
      <c r="I33" t="e">
        <f>AND('Data Extract File Ty'!D790,"AAAAAFjNfwg=")</f>
        <v>#VALUE!</v>
      </c>
      <c r="J33">
        <f>IF('Data Extract File Ty'!791:791,"AAAAAFjNfwk=",0)</f>
        <v>0</v>
      </c>
      <c r="K33" t="e">
        <f>AND('Data Extract File Ty'!A791,"AAAAAFjNfwo=")</f>
        <v>#VALUE!</v>
      </c>
      <c r="L33" t="e">
        <f>AND('Data Extract File Ty'!B791,"AAAAAFjNfws=")</f>
        <v>#VALUE!</v>
      </c>
      <c r="M33" t="e">
        <f>AND('Data Extract File Ty'!C791,"AAAAAFjNfww=")</f>
        <v>#VALUE!</v>
      </c>
      <c r="N33" t="e">
        <f>AND('Data Extract File Ty'!D791,"AAAAAFjNfw0=")</f>
        <v>#VALUE!</v>
      </c>
      <c r="O33">
        <f>IF('Data Extract File Ty'!792:792,"AAAAAFjNfw4=",0)</f>
        <v>0</v>
      </c>
      <c r="P33" t="e">
        <f>AND('Data Extract File Ty'!A792,"AAAAAFjNfw8=")</f>
        <v>#VALUE!</v>
      </c>
      <c r="Q33" t="e">
        <f>AND('Data Extract File Ty'!B792,"AAAAAFjNfxA=")</f>
        <v>#VALUE!</v>
      </c>
      <c r="R33" t="e">
        <f>AND('Data Extract File Ty'!C792,"AAAAAFjNfxE=")</f>
        <v>#VALUE!</v>
      </c>
      <c r="S33" t="e">
        <f>AND('Data Extract File Ty'!D792,"AAAAAFjNfxI=")</f>
        <v>#VALUE!</v>
      </c>
      <c r="T33">
        <f>IF('Data Extract File Ty'!793:793,"AAAAAFjNfxM=",0)</f>
        <v>0</v>
      </c>
      <c r="U33" t="e">
        <f>AND('Data Extract File Ty'!A793,"AAAAAFjNfxQ=")</f>
        <v>#VALUE!</v>
      </c>
      <c r="V33" t="e">
        <f>AND('Data Extract File Ty'!B793,"AAAAAFjNfxU=")</f>
        <v>#VALUE!</v>
      </c>
      <c r="W33" t="e">
        <f>AND('Data Extract File Ty'!C793,"AAAAAFjNfxY=")</f>
        <v>#VALUE!</v>
      </c>
      <c r="X33" t="e">
        <f>AND('Data Extract File Ty'!D793,"AAAAAFjNfxc=")</f>
        <v>#VALUE!</v>
      </c>
      <c r="Y33">
        <f>IF('Data Extract File Ty'!794:794,"AAAAAFjNfxg=",0)</f>
        <v>0</v>
      </c>
      <c r="Z33" t="e">
        <f>AND('Data Extract File Ty'!A794,"AAAAAFjNfxk=")</f>
        <v>#VALUE!</v>
      </c>
      <c r="AA33" t="e">
        <f>AND('Data Extract File Ty'!B794,"AAAAAFjNfxo=")</f>
        <v>#VALUE!</v>
      </c>
      <c r="AB33" t="e">
        <f>AND('Data Extract File Ty'!C794,"AAAAAFjNfxs=")</f>
        <v>#VALUE!</v>
      </c>
      <c r="AC33" t="e">
        <f>AND('Data Extract File Ty'!D794,"AAAAAFjNfxw=")</f>
        <v>#VALUE!</v>
      </c>
      <c r="AD33">
        <f>IF('Data Extract File Ty'!795:795,"AAAAAFjNfx0=",0)</f>
        <v>0</v>
      </c>
      <c r="AE33" t="e">
        <f>AND('Data Extract File Ty'!A795,"AAAAAFjNfx4=")</f>
        <v>#VALUE!</v>
      </c>
      <c r="AF33" t="e">
        <f>AND('Data Extract File Ty'!B795,"AAAAAFjNfx8=")</f>
        <v>#VALUE!</v>
      </c>
      <c r="AG33" t="e">
        <f>AND('Data Extract File Ty'!C795,"AAAAAFjNfyA=")</f>
        <v>#VALUE!</v>
      </c>
      <c r="AH33" t="e">
        <f>AND('Data Extract File Ty'!D795,"AAAAAFjNfyE=")</f>
        <v>#VALUE!</v>
      </c>
      <c r="AI33">
        <f>IF('Data Extract File Ty'!796:796,"AAAAAFjNfyI=",0)</f>
        <v>0</v>
      </c>
      <c r="AJ33" t="e">
        <f>AND('Data Extract File Ty'!A796,"AAAAAFjNfyM=")</f>
        <v>#VALUE!</v>
      </c>
      <c r="AK33" t="e">
        <f>AND('Data Extract File Ty'!B796,"AAAAAFjNfyQ=")</f>
        <v>#VALUE!</v>
      </c>
      <c r="AL33" t="e">
        <f>AND('Data Extract File Ty'!C796,"AAAAAFjNfyU=")</f>
        <v>#VALUE!</v>
      </c>
      <c r="AM33" t="e">
        <f>AND('Data Extract File Ty'!D796,"AAAAAFjNfyY=")</f>
        <v>#VALUE!</v>
      </c>
      <c r="AN33">
        <f>IF('Data Extract File Ty'!797:797,"AAAAAFjNfyc=",0)</f>
        <v>0</v>
      </c>
      <c r="AO33" t="e">
        <f>AND('Data Extract File Ty'!A797,"AAAAAFjNfyg=")</f>
        <v>#VALUE!</v>
      </c>
      <c r="AP33" t="e">
        <f>AND('Data Extract File Ty'!B797,"AAAAAFjNfyk=")</f>
        <v>#VALUE!</v>
      </c>
      <c r="AQ33" t="e">
        <f>AND('Data Extract File Ty'!C797,"AAAAAFjNfyo=")</f>
        <v>#VALUE!</v>
      </c>
      <c r="AR33" t="e">
        <f>AND('Data Extract File Ty'!D797,"AAAAAFjNfys=")</f>
        <v>#VALUE!</v>
      </c>
      <c r="AS33">
        <f>IF('Data Extract File Ty'!798:798,"AAAAAFjNfyw=",0)</f>
        <v>0</v>
      </c>
      <c r="AT33" t="e">
        <f>AND('Data Extract File Ty'!A798,"AAAAAFjNfy0=")</f>
        <v>#VALUE!</v>
      </c>
      <c r="AU33" t="e">
        <f>AND('Data Extract File Ty'!B798,"AAAAAFjNfy4=")</f>
        <v>#VALUE!</v>
      </c>
      <c r="AV33" t="e">
        <f>AND('Data Extract File Ty'!C798,"AAAAAFjNfy8=")</f>
        <v>#VALUE!</v>
      </c>
      <c r="AW33" t="e">
        <f>AND('Data Extract File Ty'!D798,"AAAAAFjNfzA=")</f>
        <v>#VALUE!</v>
      </c>
      <c r="AX33">
        <f>IF('Data Extract File Ty'!799:799,"AAAAAFjNfzE=",0)</f>
        <v>0</v>
      </c>
      <c r="AY33" t="e">
        <f>AND('Data Extract File Ty'!A799,"AAAAAFjNfzI=")</f>
        <v>#VALUE!</v>
      </c>
      <c r="AZ33" t="e">
        <f>AND('Data Extract File Ty'!B799,"AAAAAFjNfzM=")</f>
        <v>#VALUE!</v>
      </c>
      <c r="BA33" t="e">
        <f>AND('Data Extract File Ty'!C799,"AAAAAFjNfzQ=")</f>
        <v>#VALUE!</v>
      </c>
      <c r="BB33" t="e">
        <f>AND('Data Extract File Ty'!D799,"AAAAAFjNfzU=")</f>
        <v>#VALUE!</v>
      </c>
      <c r="BC33">
        <f>IF('Data Extract File Ty'!800:800,"AAAAAFjNfzY=",0)</f>
        <v>0</v>
      </c>
      <c r="BD33" t="e">
        <f>AND('Data Extract File Ty'!A800,"AAAAAFjNfzc=")</f>
        <v>#VALUE!</v>
      </c>
      <c r="BE33" t="e">
        <f>AND('Data Extract File Ty'!B800,"AAAAAFjNfzg=")</f>
        <v>#VALUE!</v>
      </c>
      <c r="BF33" t="e">
        <f>AND('Data Extract File Ty'!C800,"AAAAAFjNfzk=")</f>
        <v>#VALUE!</v>
      </c>
      <c r="BG33" t="e">
        <f>AND('Data Extract File Ty'!D800,"AAAAAFjNfzo=")</f>
        <v>#VALUE!</v>
      </c>
      <c r="BH33">
        <f>IF('Data Extract File Ty'!801:801,"AAAAAFjNfzs=",0)</f>
        <v>0</v>
      </c>
      <c r="BI33" t="e">
        <f>AND('Data Extract File Ty'!A801,"AAAAAFjNfzw=")</f>
        <v>#VALUE!</v>
      </c>
      <c r="BJ33" t="e">
        <f>AND('Data Extract File Ty'!B801,"AAAAAFjNfz0=")</f>
        <v>#VALUE!</v>
      </c>
      <c r="BK33" t="e">
        <f>AND('Data Extract File Ty'!C801,"AAAAAFjNfz4=")</f>
        <v>#VALUE!</v>
      </c>
      <c r="BL33" t="e">
        <f>AND('Data Extract File Ty'!D801,"AAAAAFjNfz8=")</f>
        <v>#VALUE!</v>
      </c>
      <c r="BM33" t="e">
        <f>IF('Data Extract File Ty'!A:A,"AAAAAFjNf0A=",0)</f>
        <v>#VALUE!</v>
      </c>
      <c r="BN33" t="e">
        <f>IF('Data Extract File Ty'!B:B,"AAAAAFjNf0E=",0)</f>
        <v>#VALUE!</v>
      </c>
      <c r="BO33">
        <f>IF('Data Extract File Ty'!C:C,"AAAAAFjNf0I=",0)</f>
        <v>0</v>
      </c>
      <c r="BP33" t="e">
        <f>IF('Data Extract File Ty'!D:D,"AAAAAFjNf0M=",0)</f>
        <v>#VALUE!</v>
      </c>
      <c r="BQ33">
        <f>IF('Data Extract File Ty'!E:E,"AAAAAFjNf0Q=",0)</f>
        <v>0</v>
      </c>
      <c r="BR33">
        <f>IF('Data Extract File Ty'!F:F,"AAAAAFjNf0U=",0)</f>
        <v>0</v>
      </c>
      <c r="BS33" s="8" t="s">
        <v>1182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Discovery-Processing-QC feature</vt:lpstr>
      <vt:lpstr>Data Extract File 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dc:creator>
  <cp:lastModifiedBy>Murari</cp:lastModifiedBy>
  <dcterms:created xsi:type="dcterms:W3CDTF">2012-11-07T02:16:17Z</dcterms:created>
  <dcterms:modified xsi:type="dcterms:W3CDTF">2013-11-30T06:59:53Z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1rXK6oXyQVkqpBMA1ONwedPmkxRhF1BnLR_IuNPbaUFE</vt:lpwstr>
  </property>
  <property fmtid="{D5CDD505-2E9C-101B-9397-08002B2CF9AE}" pid="4" name="Google.Documents.RevisionId">
    <vt:lpwstr>06109397202203171430</vt:lpwstr>
  </property>
  <property fmtid="{D5CDD505-2E9C-101B-9397-08002B2CF9AE}" pid="5" name="Google.Documents.PluginVersion">
    <vt:lpwstr>2.0.2662.553</vt:lpwstr>
  </property>
  <property fmtid="{D5CDD505-2E9C-101B-9397-08002B2CF9AE}" pid="6" name="Google.Documents.MergeIncapabilityFlags">
    <vt:i4>0</vt:i4>
  </property>
</Properties>
</file>